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xr:revisionPtr revIDLastSave="0" documentId="13_ncr:1_{0DA4AF5E-359B-4DBA-8FAC-6D41179AD47C}" xr6:coauthVersionLast="36" xr6:coauthVersionMax="36" xr10:uidLastSave="{00000000-0000-0000-0000-000000000000}"/>
  <workbookProtection workbookPassword="CA5B" lockStructure="1"/>
  <bookViews>
    <workbookView xWindow="0" yWindow="0" windowWidth="38400" windowHeight="17580" tabRatio="914" xr2:uid="{00000000-000D-0000-FFFF-FFFF00000000}"/>
  </bookViews>
  <sheets>
    <sheet name="Design Data" sheetId="5" r:id="rId1"/>
    <sheet name="Summary-Square Chamber" sheetId="8" r:id="rId2"/>
    <sheet name="Summary-Round Chamber" sheetId="9" r:id="rId3"/>
    <sheet name="Incremental Volume" sheetId="6" r:id="rId4"/>
    <sheet name="Standard Product" sheetId="2" r:id="rId5"/>
  </sheets>
  <definedNames>
    <definedName name="_xlnm._FilterDatabase" localSheetId="0" hidden="1">'Design Data'!$B$21:$I$29</definedName>
    <definedName name="_xlnm._FilterDatabase" localSheetId="2" hidden="1">'Summary-Round Chamber'!#REF!</definedName>
    <definedName name="_xlnm._FilterDatabase" localSheetId="1" hidden="1">'Summary-Square Chamber'!#REF!</definedName>
    <definedName name="ChamberType">'Standard Product'!$AE$17:$AF$27</definedName>
    <definedName name="Model">'Design Data'!$E$17</definedName>
    <definedName name="ModelCenterLength">VLOOKUP(Model,STDProdRange,'Standard Product'!$AA$14,FALSE)</definedName>
    <definedName name="ModelEndLength">VLOOKUP(Model,STDProdRange,'Standard Product'!$AB$14,FALSE)</definedName>
    <definedName name="ModelType">VLOOKUP(Model,STDProdRange,'Standard Product'!$AC$14,FALSE)</definedName>
    <definedName name="_xlnm.Print_Area" localSheetId="1">'Summary-Square Chamber'!$A$1:$M$37</definedName>
    <definedName name="STDProdRange">'Standard Product'!$B$16:$AC$448</definedName>
    <definedName name="TotalRows">'Design Data'!$D$24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4" i="9" l="1"/>
  <c r="F33" i="9"/>
  <c r="F32" i="9"/>
  <c r="D23" i="9"/>
  <c r="D14" i="9"/>
  <c r="L10" i="9"/>
  <c r="F10" i="9"/>
  <c r="C10" i="9"/>
  <c r="L8" i="9"/>
  <c r="F8" i="9"/>
  <c r="C8" i="9"/>
  <c r="C8" i="8"/>
  <c r="F8" i="8"/>
  <c r="L8" i="8"/>
  <c r="C10" i="8"/>
  <c r="F10" i="8"/>
  <c r="L10" i="8"/>
  <c r="D14" i="8"/>
  <c r="D23" i="8"/>
  <c r="F33" i="8"/>
  <c r="F34" i="8"/>
  <c r="F35" i="8"/>
  <c r="P54" i="5"/>
  <c r="C20" i="5"/>
  <c r="K34" i="9" s="1"/>
  <c r="G19" i="5"/>
  <c r="C4" i="6"/>
  <c r="C5" i="6"/>
  <c r="C9" i="6"/>
  <c r="C8" i="6"/>
  <c r="C7" i="6"/>
  <c r="C6" i="6"/>
  <c r="H33" i="5"/>
  <c r="AA17" i="2"/>
  <c r="AB17" i="2"/>
  <c r="AA18" i="2"/>
  <c r="AB18" i="2"/>
  <c r="AA19" i="2"/>
  <c r="AB19" i="2"/>
  <c r="AA20" i="2"/>
  <c r="AB20" i="2"/>
  <c r="AA21" i="2"/>
  <c r="AB21" i="2"/>
  <c r="AA22" i="2"/>
  <c r="AB22" i="2"/>
  <c r="AA23" i="2"/>
  <c r="AB23" i="2"/>
  <c r="AA24" i="2"/>
  <c r="AB24" i="2"/>
  <c r="AA25" i="2"/>
  <c r="AB25" i="2"/>
  <c r="AA26" i="2"/>
  <c r="AB26" i="2"/>
  <c r="AA27" i="2"/>
  <c r="AB27" i="2"/>
  <c r="AA28" i="2"/>
  <c r="AB28" i="2"/>
  <c r="AA29" i="2"/>
  <c r="AB29" i="2"/>
  <c r="AA30" i="2"/>
  <c r="AB30" i="2"/>
  <c r="AA31" i="2"/>
  <c r="AB31" i="2"/>
  <c r="AA32" i="2"/>
  <c r="AB32" i="2"/>
  <c r="AA33" i="2"/>
  <c r="AB33" i="2"/>
  <c r="AA34" i="2"/>
  <c r="AB34" i="2"/>
  <c r="AA35" i="2"/>
  <c r="AB35" i="2"/>
  <c r="AA36" i="2"/>
  <c r="AB36" i="2"/>
  <c r="AA37" i="2"/>
  <c r="AB37" i="2"/>
  <c r="AA38" i="2"/>
  <c r="AB38" i="2"/>
  <c r="AA39" i="2"/>
  <c r="AB39" i="2"/>
  <c r="AA40" i="2"/>
  <c r="AB40" i="2"/>
  <c r="AA41" i="2"/>
  <c r="AB41" i="2"/>
  <c r="AA42" i="2"/>
  <c r="AB42" i="2"/>
  <c r="AA43" i="2"/>
  <c r="AB43" i="2"/>
  <c r="AA44" i="2"/>
  <c r="AB44" i="2"/>
  <c r="AA45" i="2"/>
  <c r="AB45" i="2"/>
  <c r="AA46" i="2"/>
  <c r="AB46" i="2"/>
  <c r="AA47" i="2"/>
  <c r="AB47" i="2"/>
  <c r="AA48" i="2"/>
  <c r="AB48" i="2"/>
  <c r="AA49" i="2"/>
  <c r="AB49" i="2"/>
  <c r="AA50" i="2"/>
  <c r="AB50" i="2"/>
  <c r="AA51" i="2"/>
  <c r="AB51" i="2"/>
  <c r="AA52" i="2"/>
  <c r="AB52" i="2"/>
  <c r="AA53" i="2"/>
  <c r="AB53" i="2"/>
  <c r="AA54" i="2"/>
  <c r="AB54" i="2"/>
  <c r="AA55" i="2"/>
  <c r="AB55" i="2"/>
  <c r="AA56" i="2"/>
  <c r="AB56" i="2"/>
  <c r="AA57" i="2"/>
  <c r="AB57" i="2"/>
  <c r="AA58" i="2"/>
  <c r="AB58" i="2"/>
  <c r="AA59" i="2"/>
  <c r="AB59" i="2"/>
  <c r="AA60" i="2"/>
  <c r="AB60" i="2"/>
  <c r="AA61" i="2"/>
  <c r="AB61" i="2"/>
  <c r="AA62" i="2"/>
  <c r="AB62" i="2"/>
  <c r="AA63" i="2"/>
  <c r="AB63" i="2"/>
  <c r="AA64" i="2"/>
  <c r="AB64" i="2"/>
  <c r="AA65" i="2"/>
  <c r="AB65" i="2"/>
  <c r="AA66" i="2"/>
  <c r="AB66" i="2"/>
  <c r="AA67" i="2"/>
  <c r="AB67" i="2"/>
  <c r="AA68" i="2"/>
  <c r="AB68" i="2"/>
  <c r="AA69" i="2"/>
  <c r="AB69" i="2"/>
  <c r="AA70" i="2"/>
  <c r="AB70" i="2"/>
  <c r="AA71" i="2"/>
  <c r="AB71" i="2"/>
  <c r="AA72" i="2"/>
  <c r="AB72" i="2"/>
  <c r="AA73" i="2"/>
  <c r="AB73" i="2"/>
  <c r="AA74" i="2"/>
  <c r="AB74" i="2"/>
  <c r="AA75" i="2"/>
  <c r="AB75" i="2"/>
  <c r="AA76" i="2"/>
  <c r="AB76" i="2"/>
  <c r="AA77" i="2"/>
  <c r="AB77" i="2"/>
  <c r="AA78" i="2"/>
  <c r="AB78" i="2"/>
  <c r="AA79" i="2"/>
  <c r="AB79" i="2"/>
  <c r="AA80" i="2"/>
  <c r="AB80" i="2"/>
  <c r="AA81" i="2"/>
  <c r="AB81" i="2"/>
  <c r="AA82" i="2"/>
  <c r="AB82" i="2"/>
  <c r="AA83" i="2"/>
  <c r="AB83" i="2"/>
  <c r="AA84" i="2"/>
  <c r="AB84" i="2"/>
  <c r="AA85" i="2"/>
  <c r="AB85" i="2"/>
  <c r="AA86" i="2"/>
  <c r="AB86" i="2"/>
  <c r="AA87" i="2"/>
  <c r="AB87" i="2"/>
  <c r="AA88" i="2"/>
  <c r="AB88" i="2"/>
  <c r="AA89" i="2"/>
  <c r="AB89" i="2"/>
  <c r="AA90" i="2"/>
  <c r="AB90" i="2"/>
  <c r="AA91" i="2"/>
  <c r="AB91" i="2"/>
  <c r="AA92" i="2"/>
  <c r="AB92" i="2"/>
  <c r="AA93" i="2"/>
  <c r="AB93" i="2"/>
  <c r="AA94" i="2"/>
  <c r="AB94" i="2"/>
  <c r="AA95" i="2"/>
  <c r="AB95" i="2"/>
  <c r="AA96" i="2"/>
  <c r="AB96" i="2"/>
  <c r="AA97" i="2"/>
  <c r="AB97" i="2"/>
  <c r="AA98" i="2"/>
  <c r="AB98" i="2"/>
  <c r="AA99" i="2"/>
  <c r="AB99" i="2"/>
  <c r="AA100" i="2"/>
  <c r="AB100" i="2"/>
  <c r="AA101" i="2"/>
  <c r="AB101" i="2"/>
  <c r="AA102" i="2"/>
  <c r="AB102" i="2"/>
  <c r="AA103" i="2"/>
  <c r="AB103" i="2"/>
  <c r="AA104" i="2"/>
  <c r="AB104" i="2"/>
  <c r="AA105" i="2"/>
  <c r="AB105" i="2"/>
  <c r="AA106" i="2"/>
  <c r="AB106" i="2"/>
  <c r="AA107" i="2"/>
  <c r="AB107" i="2"/>
  <c r="AA108" i="2"/>
  <c r="AB108" i="2"/>
  <c r="AA109" i="2"/>
  <c r="AB109" i="2"/>
  <c r="AA110" i="2"/>
  <c r="AB110" i="2"/>
  <c r="AA111" i="2"/>
  <c r="AB111" i="2"/>
  <c r="AA112" i="2"/>
  <c r="AB112" i="2"/>
  <c r="AA113" i="2"/>
  <c r="AB113" i="2"/>
  <c r="AA114" i="2"/>
  <c r="AB114" i="2"/>
  <c r="AA115" i="2"/>
  <c r="AB115" i="2"/>
  <c r="AA116" i="2"/>
  <c r="AB116" i="2"/>
  <c r="AA117" i="2"/>
  <c r="AB117" i="2"/>
  <c r="AA118" i="2"/>
  <c r="AB118" i="2"/>
  <c r="AA119" i="2"/>
  <c r="AB119" i="2"/>
  <c r="AA120" i="2"/>
  <c r="AB120" i="2"/>
  <c r="AA121" i="2"/>
  <c r="AB121" i="2"/>
  <c r="AA122" i="2"/>
  <c r="AB122" i="2"/>
  <c r="AA123" i="2"/>
  <c r="AB123" i="2"/>
  <c r="AA124" i="2"/>
  <c r="AB124" i="2"/>
  <c r="AA125" i="2"/>
  <c r="AB125" i="2"/>
  <c r="AA126" i="2"/>
  <c r="AB126" i="2"/>
  <c r="AA127" i="2"/>
  <c r="AB127" i="2"/>
  <c r="AA128" i="2"/>
  <c r="AB128" i="2"/>
  <c r="AA129" i="2"/>
  <c r="AB129" i="2"/>
  <c r="AA130" i="2"/>
  <c r="AB130" i="2"/>
  <c r="AA131" i="2"/>
  <c r="AB131" i="2"/>
  <c r="AA132" i="2"/>
  <c r="AB132" i="2"/>
  <c r="AA133" i="2"/>
  <c r="AB133" i="2"/>
  <c r="AA134" i="2"/>
  <c r="AB134" i="2"/>
  <c r="AA135" i="2"/>
  <c r="AB135" i="2"/>
  <c r="AA136" i="2"/>
  <c r="AB136" i="2"/>
  <c r="AA137" i="2"/>
  <c r="AB137" i="2"/>
  <c r="AA138" i="2"/>
  <c r="AB138" i="2"/>
  <c r="AA139" i="2"/>
  <c r="AB139" i="2"/>
  <c r="AA140" i="2"/>
  <c r="AB140" i="2"/>
  <c r="AA141" i="2"/>
  <c r="AB141" i="2"/>
  <c r="AA142" i="2"/>
  <c r="AB142" i="2"/>
  <c r="AA143" i="2"/>
  <c r="AB143" i="2"/>
  <c r="AA144" i="2"/>
  <c r="AB144" i="2"/>
  <c r="AA145" i="2"/>
  <c r="AB145" i="2"/>
  <c r="AA146" i="2"/>
  <c r="AB146" i="2"/>
  <c r="AA147" i="2"/>
  <c r="AB147" i="2"/>
  <c r="AA148" i="2"/>
  <c r="AB148" i="2"/>
  <c r="AA149" i="2"/>
  <c r="AB149" i="2"/>
  <c r="AA150" i="2"/>
  <c r="AB150" i="2"/>
  <c r="AA151" i="2"/>
  <c r="AB151" i="2"/>
  <c r="AA152" i="2"/>
  <c r="AB152" i="2"/>
  <c r="AA153" i="2"/>
  <c r="AB153" i="2"/>
  <c r="AA154" i="2"/>
  <c r="AB154" i="2"/>
  <c r="AA155" i="2"/>
  <c r="AB155" i="2"/>
  <c r="AA156" i="2"/>
  <c r="AB156" i="2"/>
  <c r="AA157" i="2"/>
  <c r="AB157" i="2"/>
  <c r="AA158" i="2"/>
  <c r="AB158" i="2"/>
  <c r="AA159" i="2"/>
  <c r="AB159" i="2"/>
  <c r="AA160" i="2"/>
  <c r="AB160" i="2"/>
  <c r="AA161" i="2"/>
  <c r="AB161" i="2"/>
  <c r="AA162" i="2"/>
  <c r="AB162" i="2"/>
  <c r="AA163" i="2"/>
  <c r="AB163" i="2"/>
  <c r="AA164" i="2"/>
  <c r="AB164" i="2"/>
  <c r="AA165" i="2"/>
  <c r="AB165" i="2"/>
  <c r="AA166" i="2"/>
  <c r="AB166" i="2"/>
  <c r="AA167" i="2"/>
  <c r="AB167" i="2"/>
  <c r="AA168" i="2"/>
  <c r="AB168" i="2"/>
  <c r="AA169" i="2"/>
  <c r="AB169" i="2"/>
  <c r="AA170" i="2"/>
  <c r="AB170" i="2"/>
  <c r="AA171" i="2"/>
  <c r="AB171" i="2"/>
  <c r="AA172" i="2"/>
  <c r="AB172" i="2"/>
  <c r="AA173" i="2"/>
  <c r="AB173" i="2"/>
  <c r="AA174" i="2"/>
  <c r="AB174" i="2"/>
  <c r="AA175" i="2"/>
  <c r="AB175" i="2"/>
  <c r="AA176" i="2"/>
  <c r="AB176" i="2"/>
  <c r="AA177" i="2"/>
  <c r="AB177" i="2"/>
  <c r="AA178" i="2"/>
  <c r="AB178" i="2"/>
  <c r="AA179" i="2"/>
  <c r="AB179" i="2"/>
  <c r="AA180" i="2"/>
  <c r="AB180" i="2"/>
  <c r="AA181" i="2"/>
  <c r="AB181" i="2"/>
  <c r="AA182" i="2"/>
  <c r="AB182" i="2"/>
  <c r="AA183" i="2"/>
  <c r="AB183" i="2"/>
  <c r="AA184" i="2"/>
  <c r="AB184" i="2"/>
  <c r="AA185" i="2"/>
  <c r="AB185" i="2"/>
  <c r="AA186" i="2"/>
  <c r="AB186" i="2"/>
  <c r="AA187" i="2"/>
  <c r="AB187" i="2"/>
  <c r="AA188" i="2"/>
  <c r="AB188" i="2"/>
  <c r="AA189" i="2"/>
  <c r="AB189" i="2"/>
  <c r="AA190" i="2"/>
  <c r="AB190" i="2"/>
  <c r="AA191" i="2"/>
  <c r="AB191" i="2"/>
  <c r="AA192" i="2"/>
  <c r="AB192" i="2"/>
  <c r="AA193" i="2"/>
  <c r="AB193" i="2"/>
  <c r="AA194" i="2"/>
  <c r="AB194" i="2"/>
  <c r="AA195" i="2"/>
  <c r="AB195" i="2"/>
  <c r="AA196" i="2"/>
  <c r="AB196" i="2"/>
  <c r="AA197" i="2"/>
  <c r="AB197" i="2"/>
  <c r="AA198" i="2"/>
  <c r="AB198" i="2"/>
  <c r="AA199" i="2"/>
  <c r="AB199" i="2"/>
  <c r="AA200" i="2"/>
  <c r="AB200" i="2"/>
  <c r="AA201" i="2"/>
  <c r="AB201" i="2"/>
  <c r="AA202" i="2"/>
  <c r="AB202" i="2"/>
  <c r="AA203" i="2"/>
  <c r="AB203" i="2"/>
  <c r="AA204" i="2"/>
  <c r="AB204" i="2"/>
  <c r="AA205" i="2"/>
  <c r="AB205" i="2"/>
  <c r="AA206" i="2"/>
  <c r="AB206" i="2"/>
  <c r="AA207" i="2"/>
  <c r="AB207" i="2"/>
  <c r="AA208" i="2"/>
  <c r="AB208" i="2"/>
  <c r="AA209" i="2"/>
  <c r="AB209" i="2"/>
  <c r="AA210" i="2"/>
  <c r="AB210" i="2"/>
  <c r="AA211" i="2"/>
  <c r="AB211" i="2"/>
  <c r="AA212" i="2"/>
  <c r="AB212" i="2"/>
  <c r="AA213" i="2"/>
  <c r="AB213" i="2"/>
  <c r="AA214" i="2"/>
  <c r="AB214" i="2"/>
  <c r="AA215" i="2"/>
  <c r="AB215" i="2"/>
  <c r="AA216" i="2"/>
  <c r="AB216" i="2"/>
  <c r="AA217" i="2"/>
  <c r="AB217" i="2"/>
  <c r="AA218" i="2"/>
  <c r="AB218" i="2"/>
  <c r="AA219" i="2"/>
  <c r="AB219" i="2"/>
  <c r="AA220" i="2"/>
  <c r="AB220" i="2"/>
  <c r="AA221" i="2"/>
  <c r="AB221" i="2"/>
  <c r="AA222" i="2"/>
  <c r="AB222" i="2"/>
  <c r="AA223" i="2"/>
  <c r="AB223" i="2"/>
  <c r="AA224" i="2"/>
  <c r="AB224" i="2"/>
  <c r="AA225" i="2"/>
  <c r="AB225" i="2"/>
  <c r="AA226" i="2"/>
  <c r="AB226" i="2"/>
  <c r="AA227" i="2"/>
  <c r="AB227" i="2"/>
  <c r="AA228" i="2"/>
  <c r="AB228" i="2"/>
  <c r="AA229" i="2"/>
  <c r="AB229" i="2"/>
  <c r="AA230" i="2"/>
  <c r="AB230" i="2"/>
  <c r="AA231" i="2"/>
  <c r="AB231" i="2"/>
  <c r="AA232" i="2"/>
  <c r="AB232" i="2"/>
  <c r="AA233" i="2"/>
  <c r="AB233" i="2"/>
  <c r="AA234" i="2"/>
  <c r="AB234" i="2"/>
  <c r="AA235" i="2"/>
  <c r="AB235" i="2"/>
  <c r="AA236" i="2"/>
  <c r="AB236" i="2"/>
  <c r="AA237" i="2"/>
  <c r="AB237" i="2"/>
  <c r="AA238" i="2"/>
  <c r="AB238" i="2"/>
  <c r="AA239" i="2"/>
  <c r="AB239" i="2"/>
  <c r="AA240" i="2"/>
  <c r="AB240" i="2"/>
  <c r="AA241" i="2"/>
  <c r="AB241" i="2"/>
  <c r="AA242" i="2"/>
  <c r="AB242" i="2"/>
  <c r="AA243" i="2"/>
  <c r="AB243" i="2"/>
  <c r="AA244" i="2"/>
  <c r="AB244" i="2"/>
  <c r="AA245" i="2"/>
  <c r="AB245" i="2"/>
  <c r="AA246" i="2"/>
  <c r="AB246" i="2"/>
  <c r="AA247" i="2"/>
  <c r="AB247" i="2"/>
  <c r="AA248" i="2"/>
  <c r="AB248" i="2"/>
  <c r="AA249" i="2"/>
  <c r="AB249" i="2"/>
  <c r="AA250" i="2"/>
  <c r="AB250" i="2"/>
  <c r="AA251" i="2"/>
  <c r="AB251" i="2"/>
  <c r="AA252" i="2"/>
  <c r="AB252" i="2"/>
  <c r="AA253" i="2"/>
  <c r="AB253" i="2"/>
  <c r="AA254" i="2"/>
  <c r="AB254" i="2"/>
  <c r="AA255" i="2"/>
  <c r="AB255" i="2"/>
  <c r="AA256" i="2"/>
  <c r="AB256" i="2"/>
  <c r="AA257" i="2"/>
  <c r="AB257" i="2"/>
  <c r="AA258" i="2"/>
  <c r="AB258" i="2"/>
  <c r="AA259" i="2"/>
  <c r="AB259" i="2"/>
  <c r="AA260" i="2"/>
  <c r="AB260" i="2"/>
  <c r="AA261" i="2"/>
  <c r="AB261" i="2"/>
  <c r="AA262" i="2"/>
  <c r="AB262" i="2"/>
  <c r="AA263" i="2"/>
  <c r="AB263" i="2"/>
  <c r="AA264" i="2"/>
  <c r="AB264" i="2"/>
  <c r="AA265" i="2"/>
  <c r="AB265" i="2"/>
  <c r="AA266" i="2"/>
  <c r="AB266" i="2"/>
  <c r="AA267" i="2"/>
  <c r="AB267" i="2"/>
  <c r="AA268" i="2"/>
  <c r="AB268" i="2"/>
  <c r="AA269" i="2"/>
  <c r="AB269" i="2"/>
  <c r="AA270" i="2"/>
  <c r="AB270" i="2"/>
  <c r="AA271" i="2"/>
  <c r="AB271" i="2"/>
  <c r="AA272" i="2"/>
  <c r="AB272" i="2"/>
  <c r="AA273" i="2"/>
  <c r="AB273" i="2"/>
  <c r="AA274" i="2"/>
  <c r="AB274" i="2"/>
  <c r="AA275" i="2"/>
  <c r="AB275" i="2"/>
  <c r="AA276" i="2"/>
  <c r="AB276" i="2"/>
  <c r="AA277" i="2"/>
  <c r="AB277" i="2"/>
  <c r="AA278" i="2"/>
  <c r="AB278" i="2"/>
  <c r="AA279" i="2"/>
  <c r="AB279" i="2"/>
  <c r="AA280" i="2"/>
  <c r="AB280" i="2"/>
  <c r="AA281" i="2"/>
  <c r="AB281" i="2"/>
  <c r="AA282" i="2"/>
  <c r="AB282" i="2"/>
  <c r="AA283" i="2"/>
  <c r="AB283" i="2"/>
  <c r="AA284" i="2"/>
  <c r="AB284" i="2"/>
  <c r="AA285" i="2"/>
  <c r="AB285" i="2"/>
  <c r="AA286" i="2"/>
  <c r="AB286" i="2"/>
  <c r="AA287" i="2"/>
  <c r="AB287" i="2"/>
  <c r="AA288" i="2"/>
  <c r="AB288" i="2"/>
  <c r="AA289" i="2"/>
  <c r="AB289" i="2"/>
  <c r="AA290" i="2"/>
  <c r="AB290" i="2"/>
  <c r="AA291" i="2"/>
  <c r="AB291" i="2"/>
  <c r="AA292" i="2"/>
  <c r="AB292" i="2"/>
  <c r="AA293" i="2"/>
  <c r="AB293" i="2"/>
  <c r="AA294" i="2"/>
  <c r="AB294" i="2"/>
  <c r="AA295" i="2"/>
  <c r="AB295" i="2"/>
  <c r="AA296" i="2"/>
  <c r="AB296" i="2"/>
  <c r="AA297" i="2"/>
  <c r="AB297" i="2"/>
  <c r="AA298" i="2"/>
  <c r="AB298" i="2"/>
  <c r="AA299" i="2"/>
  <c r="AB299" i="2"/>
  <c r="AA300" i="2"/>
  <c r="AB300" i="2"/>
  <c r="AA301" i="2"/>
  <c r="AB301" i="2"/>
  <c r="AA302" i="2"/>
  <c r="AB302" i="2"/>
  <c r="AA303" i="2"/>
  <c r="AB303" i="2"/>
  <c r="AA304" i="2"/>
  <c r="AB304" i="2"/>
  <c r="AA305" i="2"/>
  <c r="AB305" i="2"/>
  <c r="AA306" i="2"/>
  <c r="AB306" i="2"/>
  <c r="AA307" i="2"/>
  <c r="AB307" i="2"/>
  <c r="AA308" i="2"/>
  <c r="AB308" i="2"/>
  <c r="AA309" i="2"/>
  <c r="AB309" i="2"/>
  <c r="AA310" i="2"/>
  <c r="AB310" i="2"/>
  <c r="AA311" i="2"/>
  <c r="AB311" i="2"/>
  <c r="AA312" i="2"/>
  <c r="AB312" i="2"/>
  <c r="AA313" i="2"/>
  <c r="AB313" i="2"/>
  <c r="AA314" i="2"/>
  <c r="AB314" i="2"/>
  <c r="AA315" i="2"/>
  <c r="AB315" i="2"/>
  <c r="AA316" i="2"/>
  <c r="AB316" i="2"/>
  <c r="AA317" i="2"/>
  <c r="AB317" i="2"/>
  <c r="AA318" i="2"/>
  <c r="AB318" i="2"/>
  <c r="AA319" i="2"/>
  <c r="AB319" i="2"/>
  <c r="AA320" i="2"/>
  <c r="AB320" i="2"/>
  <c r="AA321" i="2"/>
  <c r="AB321" i="2"/>
  <c r="AA322" i="2"/>
  <c r="AB322" i="2"/>
  <c r="AA323" i="2"/>
  <c r="AB323" i="2"/>
  <c r="AA324" i="2"/>
  <c r="AB324" i="2"/>
  <c r="AA325" i="2"/>
  <c r="AB325" i="2"/>
  <c r="AA326" i="2"/>
  <c r="AB326" i="2"/>
  <c r="AA327" i="2"/>
  <c r="AB327" i="2"/>
  <c r="AA328" i="2"/>
  <c r="AB328" i="2"/>
  <c r="AA329" i="2"/>
  <c r="AB329" i="2"/>
  <c r="AA330" i="2"/>
  <c r="AB330" i="2"/>
  <c r="AA331" i="2"/>
  <c r="AB331" i="2"/>
  <c r="AA332" i="2"/>
  <c r="AB332" i="2"/>
  <c r="AA333" i="2"/>
  <c r="AB333" i="2"/>
  <c r="AA334" i="2"/>
  <c r="AB334" i="2"/>
  <c r="AA335" i="2"/>
  <c r="AB335" i="2"/>
  <c r="AA336" i="2"/>
  <c r="AB336" i="2"/>
  <c r="AA337" i="2"/>
  <c r="AB337" i="2"/>
  <c r="AA338" i="2"/>
  <c r="AB338" i="2"/>
  <c r="AA339" i="2"/>
  <c r="AB339" i="2"/>
  <c r="AA340" i="2"/>
  <c r="AB340" i="2"/>
  <c r="AA341" i="2"/>
  <c r="AB341" i="2"/>
  <c r="AA342" i="2"/>
  <c r="AB342" i="2"/>
  <c r="AA343" i="2"/>
  <c r="AB343" i="2"/>
  <c r="AA344" i="2"/>
  <c r="AB344" i="2"/>
  <c r="AA345" i="2"/>
  <c r="AB345" i="2"/>
  <c r="AA346" i="2"/>
  <c r="AB346" i="2"/>
  <c r="AA347" i="2"/>
  <c r="AB347" i="2"/>
  <c r="AA348" i="2"/>
  <c r="AB348" i="2"/>
  <c r="AA349" i="2"/>
  <c r="AB349" i="2"/>
  <c r="AA350" i="2"/>
  <c r="AB350" i="2"/>
  <c r="AA351" i="2"/>
  <c r="AB351" i="2"/>
  <c r="AA352" i="2"/>
  <c r="AB352" i="2"/>
  <c r="AA353" i="2"/>
  <c r="AB353" i="2"/>
  <c r="AA354" i="2"/>
  <c r="AB354" i="2"/>
  <c r="AA355" i="2"/>
  <c r="AB355" i="2"/>
  <c r="AA356" i="2"/>
  <c r="AB356" i="2"/>
  <c r="AA357" i="2"/>
  <c r="AB357" i="2"/>
  <c r="AA358" i="2"/>
  <c r="AB358" i="2"/>
  <c r="AA359" i="2"/>
  <c r="AB359" i="2"/>
  <c r="AA360" i="2"/>
  <c r="AB360" i="2"/>
  <c r="AA361" i="2"/>
  <c r="AB361" i="2"/>
  <c r="AA362" i="2"/>
  <c r="AB362" i="2"/>
  <c r="AA363" i="2"/>
  <c r="AB363" i="2"/>
  <c r="AA364" i="2"/>
  <c r="AB364" i="2"/>
  <c r="AA365" i="2"/>
  <c r="AB365" i="2"/>
  <c r="AA366" i="2"/>
  <c r="AB366" i="2"/>
  <c r="AA367" i="2"/>
  <c r="AB367" i="2"/>
  <c r="AA368" i="2"/>
  <c r="AB368" i="2"/>
  <c r="AA369" i="2"/>
  <c r="AB369" i="2"/>
  <c r="AA370" i="2"/>
  <c r="AB370" i="2"/>
  <c r="AA371" i="2"/>
  <c r="AB371" i="2"/>
  <c r="AA372" i="2"/>
  <c r="AB372" i="2"/>
  <c r="AA373" i="2"/>
  <c r="AB373" i="2"/>
  <c r="AA374" i="2"/>
  <c r="AB374" i="2"/>
  <c r="AA375" i="2"/>
  <c r="AB375" i="2"/>
  <c r="AA376" i="2"/>
  <c r="AB376" i="2"/>
  <c r="AA377" i="2"/>
  <c r="AB377" i="2"/>
  <c r="AA378" i="2"/>
  <c r="AB378" i="2"/>
  <c r="AA379" i="2"/>
  <c r="AB379" i="2"/>
  <c r="AA380" i="2"/>
  <c r="AB380" i="2"/>
  <c r="AA381" i="2"/>
  <c r="AB381" i="2"/>
  <c r="AA382" i="2"/>
  <c r="AB382" i="2"/>
  <c r="AA383" i="2"/>
  <c r="AB383" i="2"/>
  <c r="AA384" i="2"/>
  <c r="AB384" i="2"/>
  <c r="AA385" i="2"/>
  <c r="AB385" i="2"/>
  <c r="AA386" i="2"/>
  <c r="AB386" i="2"/>
  <c r="AA387" i="2"/>
  <c r="AB387" i="2"/>
  <c r="AA388" i="2"/>
  <c r="AB388" i="2"/>
  <c r="AA389" i="2"/>
  <c r="AB389" i="2"/>
  <c r="AA390" i="2"/>
  <c r="AB390" i="2"/>
  <c r="AA391" i="2"/>
  <c r="AB391" i="2"/>
  <c r="AA392" i="2"/>
  <c r="AB392" i="2"/>
  <c r="AA393" i="2"/>
  <c r="AB393" i="2"/>
  <c r="AA394" i="2"/>
  <c r="AB394" i="2"/>
  <c r="AA395" i="2"/>
  <c r="AB395" i="2"/>
  <c r="AA396" i="2"/>
  <c r="AB396" i="2"/>
  <c r="AA397" i="2"/>
  <c r="AB397" i="2"/>
  <c r="AA398" i="2"/>
  <c r="AB398" i="2"/>
  <c r="AA399" i="2"/>
  <c r="AB399" i="2"/>
  <c r="AA400" i="2"/>
  <c r="AB400" i="2"/>
  <c r="AA401" i="2"/>
  <c r="AB401" i="2"/>
  <c r="AA402" i="2"/>
  <c r="AB402" i="2"/>
  <c r="AA403" i="2"/>
  <c r="AB403" i="2"/>
  <c r="AA404" i="2"/>
  <c r="AB404" i="2"/>
  <c r="AA405" i="2"/>
  <c r="AB405" i="2"/>
  <c r="AA406" i="2"/>
  <c r="AB406" i="2"/>
  <c r="AA407" i="2"/>
  <c r="AB407" i="2"/>
  <c r="AA408" i="2"/>
  <c r="AB408" i="2"/>
  <c r="AA409" i="2"/>
  <c r="AB409" i="2"/>
  <c r="AA410" i="2"/>
  <c r="AB410" i="2"/>
  <c r="AA411" i="2"/>
  <c r="AB411" i="2"/>
  <c r="AA412" i="2"/>
  <c r="AB412" i="2"/>
  <c r="AA413" i="2"/>
  <c r="AB413" i="2"/>
  <c r="AA414" i="2"/>
  <c r="AB414" i="2"/>
  <c r="AA415" i="2"/>
  <c r="AB415" i="2"/>
  <c r="AA416" i="2"/>
  <c r="AB416" i="2"/>
  <c r="AA417" i="2"/>
  <c r="AB417" i="2"/>
  <c r="AA418" i="2"/>
  <c r="AB418" i="2"/>
  <c r="AA419" i="2"/>
  <c r="AB419" i="2"/>
  <c r="AA420" i="2"/>
  <c r="AB420" i="2"/>
  <c r="AA421" i="2"/>
  <c r="AB421" i="2"/>
  <c r="AA422" i="2"/>
  <c r="AB422" i="2"/>
  <c r="AA423" i="2"/>
  <c r="AB423" i="2"/>
  <c r="AA424" i="2"/>
  <c r="AB424" i="2"/>
  <c r="AA425" i="2"/>
  <c r="AB425" i="2"/>
  <c r="AA426" i="2"/>
  <c r="AB426" i="2"/>
  <c r="AA427" i="2"/>
  <c r="AB427" i="2"/>
  <c r="AA428" i="2"/>
  <c r="AB428" i="2"/>
  <c r="AA429" i="2"/>
  <c r="AB429" i="2"/>
  <c r="AA430" i="2"/>
  <c r="AB430" i="2"/>
  <c r="AA431" i="2"/>
  <c r="AB431" i="2"/>
  <c r="AA432" i="2"/>
  <c r="AB432" i="2"/>
  <c r="AA433" i="2"/>
  <c r="AB433" i="2"/>
  <c r="AA434" i="2"/>
  <c r="AB434" i="2"/>
  <c r="AA435" i="2"/>
  <c r="AB435" i="2"/>
  <c r="AA436" i="2"/>
  <c r="AB436" i="2"/>
  <c r="AA437" i="2"/>
  <c r="AB437" i="2"/>
  <c r="AA438" i="2"/>
  <c r="AB438" i="2"/>
  <c r="AA439" i="2"/>
  <c r="AB439" i="2"/>
  <c r="AA440" i="2"/>
  <c r="AB440" i="2"/>
  <c r="AA441" i="2"/>
  <c r="AB441" i="2"/>
  <c r="AA442" i="2"/>
  <c r="AB442" i="2"/>
  <c r="AA443" i="2"/>
  <c r="AB443" i="2"/>
  <c r="AA444" i="2"/>
  <c r="AB444" i="2"/>
  <c r="AA445" i="2"/>
  <c r="AB445" i="2"/>
  <c r="AA446" i="2"/>
  <c r="AB446" i="2"/>
  <c r="AA447" i="2"/>
  <c r="AB447" i="2"/>
  <c r="AA448" i="2"/>
  <c r="AB448" i="2"/>
  <c r="AB16" i="2"/>
  <c r="AA16" i="2"/>
  <c r="F19" i="5"/>
  <c r="D35" i="6" s="1"/>
  <c r="K28" i="8"/>
  <c r="M17" i="5"/>
  <c r="F20" i="5"/>
  <c r="G5" i="2"/>
  <c r="G10" i="2"/>
  <c r="E9" i="2"/>
  <c r="A9" i="2"/>
  <c r="C22" i="5"/>
  <c r="L24" i="9" s="1"/>
  <c r="F13" i="5"/>
  <c r="C9" i="2"/>
  <c r="K2" i="2"/>
  <c r="F2" i="2"/>
  <c r="D2" i="2"/>
  <c r="B4" i="2"/>
  <c r="I10" i="2"/>
  <c r="G20" i="5"/>
  <c r="D15" i="6"/>
  <c r="D25" i="6"/>
  <c r="D17" i="6"/>
  <c r="P11" i="5"/>
  <c r="M18" i="5"/>
  <c r="AC17" i="2"/>
  <c r="AC18" i="2"/>
  <c r="AC19" i="2"/>
  <c r="AC20" i="2"/>
  <c r="C32" i="6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AC227" i="2"/>
  <c r="AC228" i="2"/>
  <c r="AC229" i="2"/>
  <c r="AC230" i="2"/>
  <c r="AC231" i="2"/>
  <c r="AC232" i="2"/>
  <c r="AC233" i="2"/>
  <c r="AC234" i="2"/>
  <c r="AC235" i="2"/>
  <c r="AC236" i="2"/>
  <c r="AC237" i="2"/>
  <c r="AC238" i="2"/>
  <c r="AC239" i="2"/>
  <c r="AC240" i="2"/>
  <c r="AC241" i="2"/>
  <c r="AC242" i="2"/>
  <c r="AC243" i="2"/>
  <c r="AC244" i="2"/>
  <c r="AC245" i="2"/>
  <c r="AC246" i="2"/>
  <c r="AC247" i="2"/>
  <c r="AC248" i="2"/>
  <c r="AC249" i="2"/>
  <c r="AC250" i="2"/>
  <c r="AC251" i="2"/>
  <c r="AC252" i="2"/>
  <c r="AC253" i="2"/>
  <c r="AC254" i="2"/>
  <c r="AC255" i="2"/>
  <c r="AC256" i="2"/>
  <c r="AC257" i="2"/>
  <c r="AC258" i="2"/>
  <c r="AC259" i="2"/>
  <c r="AC260" i="2"/>
  <c r="AC261" i="2"/>
  <c r="AC262" i="2"/>
  <c r="AC263" i="2"/>
  <c r="AC264" i="2"/>
  <c r="AC265" i="2"/>
  <c r="AC266" i="2"/>
  <c r="AC267" i="2"/>
  <c r="AC268" i="2"/>
  <c r="AC269" i="2"/>
  <c r="AC270" i="2"/>
  <c r="AC271" i="2"/>
  <c r="AC272" i="2"/>
  <c r="AC273" i="2"/>
  <c r="AC274" i="2"/>
  <c r="AC275" i="2"/>
  <c r="AC276" i="2"/>
  <c r="AC277" i="2"/>
  <c r="AC278" i="2"/>
  <c r="AC279" i="2"/>
  <c r="AC280" i="2"/>
  <c r="AC281" i="2"/>
  <c r="AC282" i="2"/>
  <c r="AC283" i="2"/>
  <c r="AC284" i="2"/>
  <c r="AC285" i="2"/>
  <c r="AC286" i="2"/>
  <c r="AC287" i="2"/>
  <c r="AC288" i="2"/>
  <c r="AC289" i="2"/>
  <c r="AC290" i="2"/>
  <c r="AC291" i="2"/>
  <c r="AC292" i="2"/>
  <c r="AC293" i="2"/>
  <c r="AC294" i="2"/>
  <c r="AC295" i="2"/>
  <c r="AC296" i="2"/>
  <c r="AC297" i="2"/>
  <c r="AC298" i="2"/>
  <c r="AC299" i="2"/>
  <c r="AC300" i="2"/>
  <c r="AC301" i="2"/>
  <c r="AC302" i="2"/>
  <c r="AC303" i="2"/>
  <c r="AC304" i="2"/>
  <c r="AC305" i="2"/>
  <c r="AC306" i="2"/>
  <c r="AC307" i="2"/>
  <c r="AC308" i="2"/>
  <c r="AC309" i="2"/>
  <c r="AC310" i="2"/>
  <c r="AC311" i="2"/>
  <c r="AC312" i="2"/>
  <c r="AC313" i="2"/>
  <c r="AC314" i="2"/>
  <c r="AC315" i="2"/>
  <c r="AC316" i="2"/>
  <c r="AC317" i="2"/>
  <c r="AC318" i="2"/>
  <c r="AC319" i="2"/>
  <c r="AC320" i="2"/>
  <c r="AC321" i="2"/>
  <c r="AC322" i="2"/>
  <c r="AC323" i="2"/>
  <c r="AC324" i="2"/>
  <c r="AC325" i="2"/>
  <c r="AC326" i="2"/>
  <c r="AC327" i="2"/>
  <c r="AC328" i="2"/>
  <c r="AC329" i="2"/>
  <c r="AC330" i="2"/>
  <c r="AC331" i="2"/>
  <c r="AC332" i="2"/>
  <c r="AC333" i="2"/>
  <c r="AC334" i="2"/>
  <c r="AC335" i="2"/>
  <c r="AC336" i="2"/>
  <c r="AC337" i="2"/>
  <c r="AC338" i="2"/>
  <c r="AC339" i="2"/>
  <c r="AC340" i="2"/>
  <c r="AC341" i="2"/>
  <c r="AC342" i="2"/>
  <c r="AC343" i="2"/>
  <c r="AC344" i="2"/>
  <c r="AC345" i="2"/>
  <c r="AC346" i="2"/>
  <c r="AC347" i="2"/>
  <c r="AC348" i="2"/>
  <c r="AC349" i="2"/>
  <c r="AC350" i="2"/>
  <c r="AC351" i="2"/>
  <c r="AC352" i="2"/>
  <c r="AC353" i="2"/>
  <c r="AC354" i="2"/>
  <c r="AC355" i="2"/>
  <c r="AC356" i="2"/>
  <c r="AC357" i="2"/>
  <c r="AC358" i="2"/>
  <c r="AC359" i="2"/>
  <c r="AC360" i="2"/>
  <c r="AC361" i="2"/>
  <c r="AC362" i="2"/>
  <c r="AC363" i="2"/>
  <c r="AC364" i="2"/>
  <c r="AC365" i="2"/>
  <c r="AC366" i="2"/>
  <c r="AC367" i="2"/>
  <c r="AC368" i="2"/>
  <c r="AC369" i="2"/>
  <c r="AC370" i="2"/>
  <c r="AC371" i="2"/>
  <c r="AC372" i="2"/>
  <c r="AC373" i="2"/>
  <c r="AC374" i="2"/>
  <c r="AC375" i="2"/>
  <c r="AC376" i="2"/>
  <c r="AC377" i="2"/>
  <c r="AC378" i="2"/>
  <c r="AC379" i="2"/>
  <c r="AC380" i="2"/>
  <c r="AC381" i="2"/>
  <c r="AC382" i="2"/>
  <c r="AC383" i="2"/>
  <c r="AC384" i="2"/>
  <c r="AC385" i="2"/>
  <c r="AC386" i="2"/>
  <c r="AC387" i="2"/>
  <c r="AC388" i="2"/>
  <c r="AC389" i="2"/>
  <c r="AC390" i="2"/>
  <c r="AC391" i="2"/>
  <c r="AC392" i="2"/>
  <c r="AC393" i="2"/>
  <c r="AC394" i="2"/>
  <c r="AC395" i="2"/>
  <c r="AC396" i="2"/>
  <c r="AC397" i="2"/>
  <c r="AC398" i="2"/>
  <c r="AC399" i="2"/>
  <c r="AC400" i="2"/>
  <c r="AC401" i="2"/>
  <c r="AC402" i="2"/>
  <c r="AC403" i="2"/>
  <c r="AC404" i="2"/>
  <c r="AC405" i="2"/>
  <c r="AC406" i="2"/>
  <c r="AC407" i="2"/>
  <c r="AC408" i="2"/>
  <c r="AC409" i="2"/>
  <c r="AC410" i="2"/>
  <c r="AC411" i="2"/>
  <c r="AC412" i="2"/>
  <c r="AC413" i="2"/>
  <c r="AC414" i="2"/>
  <c r="AC415" i="2"/>
  <c r="AC416" i="2"/>
  <c r="AC417" i="2"/>
  <c r="AC418" i="2"/>
  <c r="AC419" i="2"/>
  <c r="AC420" i="2"/>
  <c r="AC421" i="2"/>
  <c r="AC422" i="2"/>
  <c r="AC423" i="2"/>
  <c r="AC424" i="2"/>
  <c r="AC425" i="2"/>
  <c r="AC426" i="2"/>
  <c r="AC427" i="2"/>
  <c r="AC428" i="2"/>
  <c r="AC429" i="2"/>
  <c r="AC430" i="2"/>
  <c r="AC431" i="2"/>
  <c r="AC432" i="2"/>
  <c r="AC433" i="2"/>
  <c r="AC434" i="2"/>
  <c r="AC435" i="2"/>
  <c r="AC436" i="2"/>
  <c r="AC437" i="2"/>
  <c r="AC438" i="2"/>
  <c r="AC439" i="2"/>
  <c r="AC440" i="2"/>
  <c r="AC441" i="2"/>
  <c r="AC442" i="2"/>
  <c r="AC443" i="2"/>
  <c r="AC444" i="2"/>
  <c r="AC445" i="2"/>
  <c r="AC446" i="2"/>
  <c r="AC447" i="2"/>
  <c r="AC448" i="2"/>
  <c r="AC16" i="2"/>
  <c r="G22" i="5"/>
  <c r="G21" i="5"/>
  <c r="F22" i="5"/>
  <c r="F21" i="5"/>
  <c r="C21" i="5"/>
  <c r="K29" i="9" s="1"/>
  <c r="C19" i="5"/>
  <c r="D32" i="6" s="1"/>
  <c r="M16" i="5"/>
  <c r="M15" i="5"/>
  <c r="M14" i="5"/>
  <c r="G44" i="6"/>
  <c r="G43" i="6" s="1"/>
  <c r="G42" i="6" s="1"/>
  <c r="G41" i="6" s="1"/>
  <c r="G40" i="6" s="1"/>
  <c r="G39" i="6" s="1"/>
  <c r="G38" i="6" s="1"/>
  <c r="G37" i="6" s="1"/>
  <c r="G36" i="6" s="1"/>
  <c r="G35" i="6" s="1"/>
  <c r="G34" i="6" s="1"/>
  <c r="G33" i="6" s="1"/>
  <c r="G32" i="6" s="1"/>
  <c r="G31" i="6" s="1"/>
  <c r="G30" i="6" s="1"/>
  <c r="G29" i="6" s="1"/>
  <c r="G28" i="6" s="1"/>
  <c r="G27" i="6" s="1"/>
  <c r="G26" i="6" s="1"/>
  <c r="G25" i="6" s="1"/>
  <c r="G24" i="6" s="1"/>
  <c r="G23" i="6" s="1"/>
  <c r="G22" i="6" s="1"/>
  <c r="G21" i="6" s="1"/>
  <c r="G20" i="6" s="1"/>
  <c r="G19" i="6" s="1"/>
  <c r="G18" i="6" s="1"/>
  <c r="G17" i="6" s="1"/>
  <c r="G16" i="6" s="1"/>
  <c r="G15" i="6" s="1"/>
  <c r="G14" i="6" s="1"/>
  <c r="G13" i="6" s="1"/>
  <c r="G12" i="6" s="1"/>
  <c r="G11" i="6" s="1"/>
  <c r="G10" i="6" s="1"/>
  <c r="G9" i="6" s="1"/>
  <c r="D29" i="6"/>
  <c r="D28" i="6"/>
  <c r="D27" i="6"/>
  <c r="D26" i="6"/>
  <c r="D24" i="6"/>
  <c r="D23" i="6"/>
  <c r="D22" i="6"/>
  <c r="R47" i="6" s="1"/>
  <c r="L47" i="6" s="1"/>
  <c r="N47" i="6" s="1"/>
  <c r="G26" i="5"/>
  <c r="D16" i="6" s="1"/>
  <c r="D48" i="6" s="1"/>
  <c r="G17" i="5"/>
  <c r="C33" i="8"/>
  <c r="D29" i="8"/>
  <c r="D27" i="9"/>
  <c r="C30" i="9"/>
  <c r="C32" i="9"/>
  <c r="E32" i="9"/>
  <c r="G32" i="9"/>
  <c r="G33" i="8"/>
  <c r="E33" i="8"/>
  <c r="C30" i="8"/>
  <c r="R56" i="6"/>
  <c r="L56" i="6" s="1"/>
  <c r="N56" i="6" s="1"/>
  <c r="R55" i="6"/>
  <c r="L55" i="6" s="1"/>
  <c r="N55" i="6" s="1"/>
  <c r="R52" i="6"/>
  <c r="L52" i="6" s="1"/>
  <c r="N52" i="6" s="1"/>
  <c r="B19" i="5"/>
  <c r="B20" i="5"/>
  <c r="D12" i="8"/>
  <c r="C34" i="6"/>
  <c r="D12" i="9"/>
  <c r="R53" i="6"/>
  <c r="L53" i="6" s="1"/>
  <c r="N53" i="6" s="1"/>
  <c r="P34" i="5"/>
  <c r="P23" i="5"/>
  <c r="P28" i="5" s="1"/>
  <c r="R51" i="6"/>
  <c r="L51" i="6" s="1"/>
  <c r="N51" i="6" s="1"/>
  <c r="R49" i="6"/>
  <c r="L49" i="6" s="1"/>
  <c r="N49" i="6" s="1"/>
  <c r="R48" i="6"/>
  <c r="L48" i="6" s="1"/>
  <c r="N48" i="6" s="1"/>
  <c r="D29" i="9"/>
  <c r="D27" i="8"/>
  <c r="D33" i="6" l="1"/>
  <c r="P8" i="5"/>
  <c r="P55" i="5"/>
  <c r="P20" i="5"/>
  <c r="P25" i="5" s="1"/>
  <c r="J24" i="8"/>
  <c r="P19" i="5"/>
  <c r="P24" i="5" s="1"/>
  <c r="C20" i="6"/>
  <c r="D34" i="6"/>
  <c r="D49" i="6"/>
  <c r="D50" i="6" s="1"/>
  <c r="P5" i="5"/>
  <c r="P6" i="5"/>
  <c r="P3" i="5"/>
  <c r="P22" i="5"/>
  <c r="P27" i="5" s="1"/>
  <c r="P29" i="5"/>
  <c r="P35" i="5"/>
  <c r="P13" i="5"/>
  <c r="K17" i="8"/>
  <c r="I32" i="5"/>
  <c r="P12" i="5" s="1"/>
  <c r="G28" i="5"/>
  <c r="G22" i="8"/>
  <c r="P56" i="5"/>
  <c r="L30" i="9"/>
  <c r="K17" i="9" s="1"/>
  <c r="E35" i="6"/>
  <c r="P4" i="5"/>
  <c r="P7" i="5"/>
  <c r="R58" i="6"/>
  <c r="L58" i="6" s="1"/>
  <c r="N58" i="6" s="1"/>
  <c r="R54" i="6"/>
  <c r="L54" i="6" s="1"/>
  <c r="N54" i="6" s="1"/>
  <c r="R57" i="6"/>
  <c r="L57" i="6" s="1"/>
  <c r="N57" i="6" s="1"/>
  <c r="R50" i="6"/>
  <c r="L50" i="6" s="1"/>
  <c r="N50" i="6" s="1"/>
  <c r="R46" i="6"/>
  <c r="L46" i="6" s="1"/>
  <c r="N46" i="6" s="1"/>
  <c r="I22" i="8"/>
  <c r="P30" i="5"/>
  <c r="P14" i="5" l="1"/>
  <c r="P15" i="5" s="1"/>
  <c r="P32" i="5"/>
  <c r="D18" i="8" s="1"/>
  <c r="P71" i="5"/>
  <c r="P58" i="5"/>
  <c r="P59" i="5" s="1"/>
  <c r="P60" i="5" s="1"/>
  <c r="P61" i="5" s="1"/>
  <c r="P62" i="5" s="1"/>
  <c r="P63" i="5" s="1"/>
  <c r="D52" i="6"/>
  <c r="G29" i="5"/>
  <c r="P21" i="5"/>
  <c r="P26" i="5" s="1"/>
  <c r="P31" i="5" s="1"/>
  <c r="P36" i="5"/>
  <c r="D38" i="6"/>
  <c r="P39" i="5" l="1"/>
  <c r="D18" i="9"/>
  <c r="D19" i="9"/>
  <c r="D19" i="8"/>
  <c r="P37" i="5"/>
  <c r="D53" i="6"/>
  <c r="G34" i="5"/>
  <c r="P68" i="5"/>
  <c r="P64" i="5"/>
  <c r="P65" i="5" s="1"/>
  <c r="G24" i="5" l="1"/>
  <c r="P43" i="5"/>
  <c r="P72" i="5"/>
  <c r="P73" i="5" s="1"/>
  <c r="P74" i="5"/>
  <c r="P69" i="5"/>
  <c r="G35" i="5"/>
  <c r="D54" i="6"/>
  <c r="H45" i="6" s="1"/>
  <c r="D28" i="8" l="1"/>
  <c r="D26" i="8" s="1"/>
  <c r="P45" i="5" s="1"/>
  <c r="L26" i="5"/>
  <c r="D15" i="9"/>
  <c r="D18" i="6"/>
  <c r="D20" i="6" s="1"/>
  <c r="J45" i="6" s="1"/>
  <c r="D15" i="8"/>
  <c r="D16" i="8" s="1"/>
  <c r="H16" i="8" s="1"/>
  <c r="D20" i="9"/>
  <c r="D20" i="8"/>
  <c r="P40" i="5"/>
  <c r="P70" i="5"/>
  <c r="G36" i="5"/>
  <c r="D55" i="6"/>
  <c r="H46" i="6" s="1"/>
  <c r="H47" i="6" s="1"/>
  <c r="H48" i="6" s="1"/>
  <c r="H49" i="6" s="1"/>
  <c r="H50" i="6" s="1"/>
  <c r="H51" i="6" s="1"/>
  <c r="H52" i="6" s="1"/>
  <c r="H53" i="6" s="1"/>
  <c r="H54" i="6" s="1"/>
  <c r="H55" i="6" s="1"/>
  <c r="H56" i="6" s="1"/>
  <c r="H57" i="6" s="1"/>
  <c r="H58" i="6" s="1"/>
  <c r="H44" i="6"/>
  <c r="P75" i="5"/>
  <c r="P76" i="5"/>
  <c r="D41" i="6" l="1"/>
  <c r="J44" i="6" s="1"/>
  <c r="D30" i="8"/>
  <c r="D33" i="8" s="1"/>
  <c r="H33" i="8" s="1"/>
  <c r="D16" i="9"/>
  <c r="D30" i="9" s="1"/>
  <c r="D32" i="9" s="1"/>
  <c r="H32" i="9" s="1"/>
  <c r="D28" i="9"/>
  <c r="D26" i="9" s="1"/>
  <c r="D43" i="6"/>
  <c r="K27" i="5"/>
  <c r="D19" i="6"/>
  <c r="D56" i="6"/>
  <c r="D57" i="6" s="1"/>
  <c r="D39" i="6"/>
  <c r="P44" i="5"/>
  <c r="H43" i="6"/>
  <c r="P79" i="5"/>
  <c r="D35" i="8" l="1"/>
  <c r="H35" i="8" s="1"/>
  <c r="P46" i="5"/>
  <c r="P48" i="5"/>
  <c r="P47" i="5" s="1"/>
  <c r="D37" i="6"/>
  <c r="P77" i="5"/>
  <c r="P78" i="5" s="1"/>
  <c r="P49" i="5"/>
  <c r="D34" i="9"/>
  <c r="H34" i="9" s="1"/>
  <c r="J43" i="6"/>
  <c r="H42" i="6"/>
  <c r="D34" i="8" l="1"/>
  <c r="H34" i="8" s="1"/>
  <c r="H36" i="8" s="1"/>
  <c r="D33" i="9"/>
  <c r="H33" i="9" s="1"/>
  <c r="H35" i="9" s="1"/>
  <c r="D21" i="8"/>
  <c r="D21" i="9"/>
  <c r="D24" i="9" s="1"/>
  <c r="E24" i="9" s="1"/>
  <c r="P50" i="5"/>
  <c r="K24" i="5" s="1"/>
  <c r="L24" i="5" s="1"/>
  <c r="P41" i="5"/>
  <c r="D42" i="6" s="1"/>
  <c r="Q44" i="6" s="1"/>
  <c r="L44" i="6" s="1"/>
  <c r="N44" i="6" s="1"/>
  <c r="D40" i="6"/>
  <c r="Q45" i="6"/>
  <c r="L45" i="6" s="1"/>
  <c r="N45" i="6" s="1"/>
  <c r="J42" i="6"/>
  <c r="H41" i="6"/>
  <c r="Q42" i="6" l="1"/>
  <c r="L42" i="6" s="1"/>
  <c r="N42" i="6" s="1"/>
  <c r="Q43" i="6"/>
  <c r="L43" i="6" s="1"/>
  <c r="N43" i="6" s="1"/>
  <c r="D44" i="6"/>
  <c r="D45" i="6" s="1"/>
  <c r="D24" i="8"/>
  <c r="E24" i="8" s="1"/>
  <c r="J41" i="6"/>
  <c r="Q41" i="6"/>
  <c r="L41" i="6" s="1"/>
  <c r="H40" i="6"/>
  <c r="N41" i="6" l="1"/>
  <c r="H39" i="6"/>
  <c r="J40" i="6"/>
  <c r="Q40" i="6"/>
  <c r="L40" i="6" s="1"/>
  <c r="N40" i="6" l="1"/>
  <c r="Q39" i="6"/>
  <c r="L39" i="6" s="1"/>
  <c r="J39" i="6"/>
  <c r="H38" i="6"/>
  <c r="N39" i="6" l="1"/>
  <c r="J38" i="6"/>
  <c r="Q38" i="6"/>
  <c r="L38" i="6" s="1"/>
  <c r="H37" i="6"/>
  <c r="N38" i="6" l="1"/>
  <c r="J37" i="6"/>
  <c r="Q37" i="6"/>
  <c r="L37" i="6" s="1"/>
  <c r="H36" i="6"/>
  <c r="N37" i="6" l="1"/>
  <c r="Q36" i="6"/>
  <c r="L36" i="6" s="1"/>
  <c r="H35" i="6"/>
  <c r="J36" i="6"/>
  <c r="N36" i="6" l="1"/>
  <c r="Q35" i="6"/>
  <c r="L35" i="6" s="1"/>
  <c r="J35" i="6"/>
  <c r="H34" i="6"/>
  <c r="N35" i="6" l="1"/>
  <c r="J34" i="6"/>
  <c r="H33" i="6"/>
  <c r="Q34" i="6"/>
  <c r="L34" i="6" s="1"/>
  <c r="N34" i="6" l="1"/>
  <c r="Q33" i="6"/>
  <c r="L33" i="6" s="1"/>
  <c r="J33" i="6"/>
  <c r="H32" i="6"/>
  <c r="N33" i="6" l="1"/>
  <c r="J32" i="6"/>
  <c r="H31" i="6"/>
  <c r="Q32" i="6"/>
  <c r="L32" i="6" s="1"/>
  <c r="N32" i="6" l="1"/>
  <c r="J31" i="6"/>
  <c r="Q31" i="6"/>
  <c r="L31" i="6" s="1"/>
  <c r="H30" i="6"/>
  <c r="N31" i="6" l="1"/>
  <c r="Q30" i="6"/>
  <c r="L30" i="6" s="1"/>
  <c r="H29" i="6"/>
  <c r="J30" i="6"/>
  <c r="N30" i="6" l="1"/>
  <c r="H28" i="6"/>
  <c r="Q29" i="6"/>
  <c r="L29" i="6" s="1"/>
  <c r="J29" i="6"/>
  <c r="N29" i="6" l="1"/>
  <c r="J28" i="6"/>
  <c r="H27" i="6"/>
  <c r="Q28" i="6"/>
  <c r="L28" i="6" s="1"/>
  <c r="N28" i="6" l="1"/>
  <c r="Q27" i="6"/>
  <c r="L27" i="6" s="1"/>
  <c r="H26" i="6"/>
  <c r="J27" i="6"/>
  <c r="N27" i="6" l="1"/>
  <c r="J26" i="6"/>
  <c r="H25" i="6"/>
  <c r="Q26" i="6"/>
  <c r="L26" i="6" s="1"/>
  <c r="N26" i="6" l="1"/>
  <c r="Q25" i="6"/>
  <c r="L25" i="6" s="1"/>
  <c r="J25" i="6"/>
  <c r="H24" i="6"/>
  <c r="N25" i="6" l="1"/>
  <c r="J24" i="6"/>
  <c r="H23" i="6"/>
  <c r="Q24" i="6"/>
  <c r="L24" i="6" s="1"/>
  <c r="N24" i="6" l="1"/>
  <c r="Q23" i="6"/>
  <c r="L23" i="6" s="1"/>
  <c r="H22" i="6"/>
  <c r="J23" i="6"/>
  <c r="N23" i="6" l="1"/>
  <c r="J22" i="6"/>
  <c r="Q22" i="6"/>
  <c r="L22" i="6" s="1"/>
  <c r="H21" i="6"/>
  <c r="N22" i="6" l="1"/>
  <c r="H20" i="6"/>
  <c r="Q21" i="6"/>
  <c r="L21" i="6" s="1"/>
  <c r="J21" i="6"/>
  <c r="N21" i="6" l="1"/>
  <c r="Q20" i="6"/>
  <c r="L20" i="6" s="1"/>
  <c r="J20" i="6"/>
  <c r="H19" i="6"/>
  <c r="N20" i="6" l="1"/>
  <c r="Q19" i="6"/>
  <c r="L19" i="6" s="1"/>
  <c r="H18" i="6"/>
  <c r="J19" i="6"/>
  <c r="N19" i="6" l="1"/>
  <c r="H17" i="6"/>
  <c r="J18" i="6"/>
  <c r="Q18" i="6"/>
  <c r="L18" i="6" s="1"/>
  <c r="N18" i="6" l="1"/>
  <c r="H16" i="6"/>
  <c r="J17" i="6"/>
  <c r="Q17" i="6"/>
  <c r="L17" i="6" s="1"/>
  <c r="N17" i="6" l="1"/>
  <c r="J16" i="6"/>
  <c r="H15" i="6"/>
  <c r="Q16" i="6"/>
  <c r="L16" i="6" s="1"/>
  <c r="N16" i="6" l="1"/>
  <c r="J15" i="6"/>
  <c r="Q15" i="6"/>
  <c r="L15" i="6" s="1"/>
  <c r="H14" i="6"/>
  <c r="N15" i="6" l="1"/>
  <c r="H13" i="6"/>
  <c r="J14" i="6"/>
  <c r="Q14" i="6"/>
  <c r="L14" i="6" s="1"/>
  <c r="N14" i="6" l="1"/>
  <c r="J13" i="6"/>
  <c r="Q13" i="6"/>
  <c r="L13" i="6" s="1"/>
  <c r="H12" i="6"/>
  <c r="N13" i="6" l="1"/>
  <c r="Q12" i="6"/>
  <c r="L12" i="6" s="1"/>
  <c r="H11" i="6"/>
  <c r="J12" i="6"/>
  <c r="N12" i="6" l="1"/>
  <c r="H10" i="6"/>
  <c r="J11" i="6"/>
  <c r="Q11" i="6"/>
  <c r="L11" i="6" s="1"/>
  <c r="N11" i="6" l="1"/>
  <c r="H9" i="6"/>
  <c r="J10" i="6"/>
  <c r="Q10" i="6"/>
  <c r="L10" i="6" s="1"/>
  <c r="N10" i="6" l="1"/>
  <c r="J9" i="6"/>
  <c r="Q9" i="6"/>
  <c r="L9" i="6" s="1"/>
  <c r="N9" i="6" l="1"/>
</calcChain>
</file>

<file path=xl/sharedStrings.xml><?xml version="1.0" encoding="utf-8"?>
<sst xmlns="http://schemas.openxmlformats.org/spreadsheetml/2006/main" count="459" uniqueCount="272">
  <si>
    <t>ft</t>
  </si>
  <si>
    <t>Chamber</t>
  </si>
  <si>
    <t xml:space="preserve">TOTAL SYSTEM DEPTH, FT = </t>
  </si>
  <si>
    <t>Top of Chamber Elevation =</t>
  </si>
  <si>
    <t>Bottom of Aggregate Subbase =</t>
  </si>
  <si>
    <t>Bottom of Pavement/ Top of Subbase =</t>
  </si>
  <si>
    <t>Finished Grade =</t>
  </si>
  <si>
    <t>Stormwater System Elevations</t>
  </si>
  <si>
    <t>Total system storage volume, cu ft =</t>
  </si>
  <si>
    <t>Total Chamber storage volume, cu ft =</t>
  </si>
  <si>
    <t>Stormwater System Sizing</t>
  </si>
  <si>
    <t>Depth of Aggregate Subbase, in =</t>
  </si>
  <si>
    <t>Depth of Pavement, in =</t>
  </si>
  <si>
    <t>Stone voids, % =</t>
  </si>
  <si>
    <t>(cu ft)</t>
  </si>
  <si>
    <t>Number of Rows =</t>
  </si>
  <si>
    <t>Stormwater System Initial Data</t>
  </si>
  <si>
    <t>Telephone:</t>
  </si>
  <si>
    <t>Date:</t>
  </si>
  <si>
    <t>Designed By:</t>
  </si>
  <si>
    <t>(ft)</t>
  </si>
  <si>
    <t>Location:</t>
  </si>
  <si>
    <t>Elevation</t>
  </si>
  <si>
    <t>per inch</t>
  </si>
  <si>
    <t>Project Name:</t>
  </si>
  <si>
    <t>Storage Volume</t>
  </si>
  <si>
    <t>INCREMENTAL VOLUME CALCULATOR</t>
  </si>
  <si>
    <t>Standard Precast Product Model Sizes</t>
  </si>
  <si>
    <t>5x10x6</t>
  </si>
  <si>
    <t>Example</t>
  </si>
  <si>
    <t>Precast Concrete Detention Calculator</t>
  </si>
  <si>
    <t>Developed by NPCA Stormwater Management Committee</t>
  </si>
  <si>
    <t>Project Information</t>
  </si>
  <si>
    <t>Product Calculator</t>
  </si>
  <si>
    <t>Model Selection:</t>
  </si>
  <si>
    <t>Finish Grade Elevation:</t>
  </si>
  <si>
    <t>Project Overview</t>
  </si>
  <si>
    <t>Finish Grade</t>
  </si>
  <si>
    <t>Structure Piece Details:</t>
  </si>
  <si>
    <t>Product Summary</t>
  </si>
  <si>
    <t>Product Dimensions</t>
  </si>
  <si>
    <t>Number of Rows:</t>
  </si>
  <si>
    <t>Stone Fill</t>
  </si>
  <si>
    <t>Cover Fill</t>
  </si>
  <si>
    <t>Actual Storage Volume:</t>
  </si>
  <si>
    <t>System Area (Footprint), sf =</t>
  </si>
  <si>
    <t>Height(ID):</t>
  </si>
  <si>
    <t>DETENTION</t>
  </si>
  <si>
    <t>Total stone storage volume, cu ft =</t>
  </si>
  <si>
    <t>Inside Bottom of Chamber Elevation =</t>
  </si>
  <si>
    <t>Design Volume:</t>
  </si>
  <si>
    <t>Minimum</t>
  </si>
  <si>
    <t>Street:</t>
  </si>
  <si>
    <t>City , State</t>
  </si>
  <si>
    <t>City, State</t>
  </si>
  <si>
    <t>Stone Porosity:</t>
  </si>
  <si>
    <t>Total Chamber Volume:</t>
  </si>
  <si>
    <t>Length of Each Row:</t>
  </si>
  <si>
    <t>of required storage</t>
  </si>
  <si>
    <t>Row Spacing, ft =</t>
  </si>
  <si>
    <t>Stone Perimeter (at outside), ft =</t>
  </si>
  <si>
    <t>Stone Bed Below, ft =</t>
  </si>
  <si>
    <t>Cover Depth, ft =</t>
  </si>
  <si>
    <t>Depth of Pavement, in:</t>
  </si>
  <si>
    <t>Depth of Aggregate Subbase, in:</t>
  </si>
  <si>
    <t>System Length, ft =</t>
  </si>
  <si>
    <t>System Width, ft =</t>
  </si>
  <si>
    <t>System Bed Depth, ft =</t>
  </si>
  <si>
    <t>Outside Bottom</t>
  </si>
  <si>
    <t>6" of stone</t>
  </si>
  <si>
    <t>12" of stone</t>
  </si>
  <si>
    <t>Stone</t>
  </si>
  <si>
    <t xml:space="preserve">Inside Bottom 0"     </t>
  </si>
  <si>
    <t>Inside Top of Chamber =</t>
  </si>
  <si>
    <t>+</t>
  </si>
  <si>
    <t>=</t>
  </si>
  <si>
    <t>Chamber Dimension</t>
  </si>
  <si>
    <t>Number of Pieces Per Row =</t>
  </si>
  <si>
    <t>Length of Each Row, ft =</t>
  </si>
  <si>
    <t>Height(ID), ft =</t>
  </si>
  <si>
    <t>Total System</t>
  </si>
  <si>
    <t>(enter 0 if in grass)</t>
  </si>
  <si>
    <t>s</t>
  </si>
  <si>
    <t>f</t>
  </si>
  <si>
    <t>City, State:</t>
  </si>
  <si>
    <t>Cost per structure or per ft</t>
  </si>
  <si>
    <t>Model Name</t>
  </si>
  <si>
    <t>(1) ***All Dimensions are in decimal feet unless stated differently</t>
  </si>
  <si>
    <t>BC8x10</t>
  </si>
  <si>
    <t>(Whole number &gt; 0")</t>
  </si>
  <si>
    <t>Enter Starting Reference above chamber bottom</t>
  </si>
  <si>
    <t>Starting Reference Elevation, in:</t>
  </si>
  <si>
    <t>Box Culvert 3 sided</t>
  </si>
  <si>
    <t>Box Culvert 4 sided</t>
  </si>
  <si>
    <t>Type</t>
  </si>
  <si>
    <t>Chamber Type</t>
  </si>
  <si>
    <t>Types</t>
  </si>
  <si>
    <t>Rows</t>
  </si>
  <si>
    <t>Length</t>
  </si>
  <si>
    <t>Length of Center Section</t>
  </si>
  <si>
    <t>Void</t>
  </si>
  <si>
    <t>Base Slab Void</t>
  </si>
  <si>
    <t>End Wall Void</t>
  </si>
  <si>
    <t>Side Wall Void</t>
  </si>
  <si>
    <t>Row Spacing</t>
  </si>
  <si>
    <t>Stone Base</t>
  </si>
  <si>
    <t>Perimeter Wall Void</t>
  </si>
  <si>
    <t>L&amp;R Perimeter</t>
  </si>
  <si>
    <t>L&amp;R Perimeter Wall Voids</t>
  </si>
  <si>
    <t>Floor Voids</t>
  </si>
  <si>
    <t>Side Walls Voids</t>
  </si>
  <si>
    <t>Total Volume Req for Chambers:</t>
  </si>
  <si>
    <t>Stone Storage between chambers for width of system</t>
  </si>
  <si>
    <t>Storage in each End Wall Void for width of system</t>
  </si>
  <si>
    <t>Hypothetical chambers per row</t>
  </si>
  <si>
    <t>Total Storage Required</t>
  </si>
  <si>
    <t>Galley 4x4</t>
  </si>
  <si>
    <t>(Chambers Only)</t>
  </si>
  <si>
    <t>Chamber Spacing, ft=</t>
  </si>
  <si>
    <t>Outside Bottom of Chamber=</t>
  </si>
  <si>
    <t>Bottom of Stone Bed (Foundation)=</t>
  </si>
  <si>
    <t>Chamber Storage per inch (above base)=</t>
  </si>
  <si>
    <t>Stone Storage per inch (above base)=</t>
  </si>
  <si>
    <t>Total Chamber Volume=</t>
  </si>
  <si>
    <t>Total Stone Volume=</t>
  </si>
  <si>
    <t>Length of End Section</t>
  </si>
  <si>
    <t>(3) Void is percentage of wall or base that is open to let water pass through.</t>
  </si>
  <si>
    <t>Perimeter Wall</t>
  </si>
  <si>
    <t>Top Slab Thickness (inches)</t>
  </si>
  <si>
    <t>in</t>
  </si>
  <si>
    <t>Unit End Wall Thickness (inches)</t>
  </si>
  <si>
    <t>Perimeter Wall Thickness (inches)</t>
  </si>
  <si>
    <t>Min Row Spacing (inches)</t>
  </si>
  <si>
    <t>Min Chamber Spacing (inches)</t>
  </si>
  <si>
    <t>Unit Side Wall Thickness (inches)</t>
  </si>
  <si>
    <t>End Wall</t>
  </si>
  <si>
    <t>Chamber Spacing</t>
  </si>
  <si>
    <t>Side Wall</t>
  </si>
  <si>
    <t>Top</t>
  </si>
  <si>
    <t>between chambers</t>
  </si>
  <si>
    <t>NOTES:</t>
  </si>
  <si>
    <t>Height</t>
  </si>
  <si>
    <t>Cover Depth, ft:</t>
  </si>
  <si>
    <t>Perimeter Stone, ft:</t>
  </si>
  <si>
    <t>Stone Depth Below, ft:</t>
  </si>
  <si>
    <t>Row Spacing, in:</t>
  </si>
  <si>
    <t>Chamber Spacing, in:</t>
  </si>
  <si>
    <t>Design Volume, cf:</t>
  </si>
  <si>
    <t>ft Width</t>
  </si>
  <si>
    <t xml:space="preserve">Base Slab         </t>
  </si>
  <si>
    <t>Width</t>
  </si>
  <si>
    <t>Units</t>
  </si>
  <si>
    <t>Design Storage</t>
  </si>
  <si>
    <t xml:space="preserve">(4) If Length=0 then it is assumed that it is Box Culvert, cost would be per foot. </t>
  </si>
  <si>
    <t xml:space="preserve">(5) Min Chamber Spacing is for systems that the units do not fit tight to each </t>
  </si>
  <si>
    <t xml:space="preserve">     other in a row.</t>
  </si>
  <si>
    <t xml:space="preserve">     Otherwise Cost is per unit.</t>
  </si>
  <si>
    <t xml:space="preserve">(2) Calculator allows different wall thicknesses.  End Wall between chambers, </t>
  </si>
  <si>
    <t xml:space="preserve">     Side Wall between rows, Perimeter Wall is on the outside of system.</t>
  </si>
  <si>
    <t>Unit Base:</t>
  </si>
  <si>
    <t>Unit Side Wall:</t>
  </si>
  <si>
    <t>Unit End Wall:</t>
  </si>
  <si>
    <t>Perimeter Wall:</t>
  </si>
  <si>
    <t>Unit Top:</t>
  </si>
  <si>
    <t>Excavation Cost ($/cy):</t>
  </si>
  <si>
    <t>Stone Cost ($/cy):</t>
  </si>
  <si>
    <t>Chambers per Row:</t>
  </si>
  <si>
    <t>of req'd</t>
  </si>
  <si>
    <t>(Volume - End stone storage)</t>
  </si>
  <si>
    <t xml:space="preserve"> (Storage in side walls between rows, assumes void filled with stone if row spacing &gt; 0)</t>
  </si>
  <si>
    <t xml:space="preserve"> (Stone Storage/chamber in base under chambers, only if base void &gt;0%)</t>
  </si>
  <si>
    <t xml:space="preserve"> (Outside wall along length per chamber assume side void filled with stone)</t>
  </si>
  <si>
    <t>(storage in chambers per width of chambers)</t>
  </si>
  <si>
    <t xml:space="preserve"> (Total Storage/width of chambers)</t>
  </si>
  <si>
    <t xml:space="preserve"> (assumes stone in voids on perimeter end walls)</t>
  </si>
  <si>
    <t xml:space="preserve"> (One End wall storage over width, assumes void filled with stone if chamber spacing &gt; 0)</t>
  </si>
  <si>
    <t>(Storage between chamber spacing, includes length perimeter)</t>
  </si>
  <si>
    <t>Total Units/row</t>
  </si>
  <si>
    <t>(Storage for width of chambers, not including stone)</t>
  </si>
  <si>
    <t>(Storage in floor voids for all chambers/width)</t>
  </si>
  <si>
    <t>Area of Center Unit</t>
  </si>
  <si>
    <t>Area of End Unit</t>
  </si>
  <si>
    <t>Area Side Unit</t>
  </si>
  <si>
    <t>Area Corner Unit</t>
  </si>
  <si>
    <t>Area of End Unit (single row)</t>
  </si>
  <si>
    <t>Area of Center Unit (single Row)</t>
  </si>
  <si>
    <t>Total Storage Volume of chambers, no stone</t>
  </si>
  <si>
    <t>Total Area of Chambers</t>
  </si>
  <si>
    <t>Total Storage Volume of Stone</t>
  </si>
  <si>
    <t xml:space="preserve"> (Stone Storage at perimeter length/chamber, only if perimeter void &gt; 0%)</t>
  </si>
  <si>
    <t>Chamber Storage per inch (above base)</t>
  </si>
  <si>
    <t>Stone Storage per inch (above base)</t>
  </si>
  <si>
    <t>Stone Volume in base (below chambers)</t>
  </si>
  <si>
    <t>Units Per Row:</t>
  </si>
  <si>
    <t>Qty Middle Sections:</t>
  </si>
  <si>
    <t>Qty End Sections:</t>
  </si>
  <si>
    <t>Qty Side Sections:</t>
  </si>
  <si>
    <t>Qty Corner Units:</t>
  </si>
  <si>
    <t>(average)</t>
  </si>
  <si>
    <t>Storage per Chamber:</t>
  </si>
  <si>
    <t>including stone:</t>
  </si>
  <si>
    <t>Excavation Cost:</t>
  </si>
  <si>
    <t>Stone Cost:</t>
  </si>
  <si>
    <t xml:space="preserve"> /cy  =</t>
  </si>
  <si>
    <t>yards  @</t>
  </si>
  <si>
    <t>yards   @</t>
  </si>
  <si>
    <t>TOTAL COST:</t>
  </si>
  <si>
    <t>Total Area of pond below ceiling of chamber</t>
  </si>
  <si>
    <t>Stone Storage Volume:</t>
  </si>
  <si>
    <t>Length of Culvert per row</t>
  </si>
  <si>
    <t>Total Storage per chamber not  including stone</t>
  </si>
  <si>
    <t>Calculated Length per row=</t>
  </si>
  <si>
    <t>Rectangular Unit</t>
  </si>
  <si>
    <t>Round Unit</t>
  </si>
  <si>
    <t>Length (ID) ft</t>
  </si>
  <si>
    <t>Width (ID) ft</t>
  </si>
  <si>
    <t>Height (ID) ft</t>
  </si>
  <si>
    <t>Min. Cover Required ft</t>
  </si>
  <si>
    <t>Stone Min Base ft</t>
  </si>
  <si>
    <t>Stone Min Sides ft</t>
  </si>
  <si>
    <t>ROUND CALCULATIONS</t>
  </si>
  <si>
    <t>Volume Inside (CF)</t>
  </si>
  <si>
    <t>Outside Diameter</t>
  </si>
  <si>
    <t>Stone per chamber (CF)</t>
  </si>
  <si>
    <t>per chamber</t>
  </si>
  <si>
    <t>assume stone area 1/2 the spacing between chambers</t>
  </si>
  <si>
    <t>Volume of Stone (CF)</t>
  </si>
  <si>
    <t>Storage per chamber with stone</t>
  </si>
  <si>
    <t>Chambers required</t>
  </si>
  <si>
    <t>Chambers per row</t>
  </si>
  <si>
    <t>Hypothetical Chambers per row</t>
  </si>
  <si>
    <t>Actual chamber per row</t>
  </si>
  <si>
    <t>How many rows need extra</t>
  </si>
  <si>
    <t>if field is perfectly square</t>
  </si>
  <si>
    <t>Assume Field is square</t>
  </si>
  <si>
    <t>no stone</t>
  </si>
  <si>
    <t>Void from Chambers (CF)</t>
  </si>
  <si>
    <t>Voids in stone</t>
  </si>
  <si>
    <t>Actual Field Size (CF)</t>
  </si>
  <si>
    <t>8'OD Drywell</t>
  </si>
  <si>
    <t>Rectangular Square Foot Print (SF)</t>
  </si>
  <si>
    <t>Design Storage Required (CF)</t>
  </si>
  <si>
    <t>Total Chamber Volume (CF)</t>
  </si>
  <si>
    <t>Width of Field (FT)</t>
  </si>
  <si>
    <t>Length of Field (FT)</t>
  </si>
  <si>
    <t>Total Excavation Area (CF)</t>
  </si>
  <si>
    <t>Total Stone (CF):</t>
  </si>
  <si>
    <t>Stone Volume in perimeter at each end of system</t>
  </si>
  <si>
    <t>Volume in Perimeter Wall Void at each end of system</t>
  </si>
  <si>
    <t xml:space="preserve"> (both end perimeter side width stone volume)</t>
  </si>
  <si>
    <t>Stone Storage</t>
  </si>
  <si>
    <t>(stone volume between rows/chamber)</t>
  </si>
  <si>
    <t xml:space="preserve"> (Stone Storage between rows/chamber, if side wall void &gt; 0%)</t>
  </si>
  <si>
    <t>(stone volume at perimeter length/chamber)</t>
  </si>
  <si>
    <t xml:space="preserve"> (Stone volume/chamber in base under chambers)</t>
  </si>
  <si>
    <t>Base Slab Thickness (inches)</t>
  </si>
  <si>
    <t xml:space="preserve"> (total stone volume x porosity)</t>
  </si>
  <si>
    <t xml:space="preserve"> Stone volume in side walls between rows, assumes void filled with stone if row spacing &gt; 0)</t>
  </si>
  <si>
    <t>Storage width of field per LF(box culvert) or chamber:</t>
  </si>
  <si>
    <t>Total Storage per LF or Length of chamber</t>
  </si>
  <si>
    <t>Storage for row of Chambers</t>
  </si>
  <si>
    <t>Stone volume in each end wall void for width of sytem</t>
  </si>
  <si>
    <t>Total Storage Area of Stone</t>
  </si>
  <si>
    <t>Total CF of stone needed</t>
  </si>
  <si>
    <t>Stone Storage Volume (CF)</t>
  </si>
  <si>
    <t>Stone Quantity</t>
  </si>
  <si>
    <t>Stone Storage Volume in Base (CF)</t>
  </si>
  <si>
    <t>Base, in =</t>
  </si>
  <si>
    <t>Select Model to view in detail above:</t>
  </si>
  <si>
    <t xml:space="preserve">    Cost Estimate:</t>
  </si>
  <si>
    <t>ver 3.1</t>
  </si>
  <si>
    <t>ver3.1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</si>
</sst>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4" formatCode="_(&quot;$&quot;* #,##0.00_);_(&quot;$&quot;* \(#,##0.00\);_(&quot;$&quot;* &quot;-&quot;??_);_(@_)"/>
    <numFmt numFmtId="164" formatCode="0.00\ \f\t"/>
    <numFmt numFmtId="165" formatCode="0\ \C\F"/>
    <numFmt numFmtId="166" formatCode="0.00\ \C\F"/>
    <numFmt numFmtId="167" formatCode="0\'\'"/>
    <numFmt numFmtId="168" formatCode="\(0.00\ \f\t\)"/>
    <numFmt numFmtId="169" formatCode="&quot;$&quot;#,##0.00"/>
    <numFmt numFmtId="170" formatCode="0.000"/>
    <numFmt numFmtId="171" formatCode="0.0%"/>
    <numFmt numFmtId="172" formatCode="0.0"/>
    <numFmt numFmtId="173" formatCode="0.0\'\'"/>
    <numFmt numFmtId="174" formatCode="\(0.0\ &quot;in&quot;\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 style="medium">
        <color indexed="64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indexed="64"/>
      </left>
      <right/>
      <top/>
      <bottom style="thin">
        <color theme="8" tint="0.79998168889431442"/>
      </bottom>
      <diagonal/>
    </border>
    <border>
      <left/>
      <right/>
      <top/>
      <bottom style="thin">
        <color theme="8" tint="0.79998168889431442"/>
      </bottom>
      <diagonal/>
    </border>
    <border>
      <left/>
      <right style="medium">
        <color indexed="64"/>
      </right>
      <top/>
      <bottom style="thin">
        <color theme="8" tint="0.79998168889431442"/>
      </bottom>
      <diagonal/>
    </border>
    <border>
      <left style="medium">
        <color indexed="64"/>
      </left>
      <right/>
      <top style="thin">
        <color theme="8" tint="0.79998168889431442"/>
      </top>
      <bottom style="thin">
        <color indexed="64"/>
      </bottom>
      <diagonal/>
    </border>
    <border>
      <left/>
      <right/>
      <top style="thin">
        <color theme="8" tint="0.79998168889431442"/>
      </top>
      <bottom style="thin">
        <color indexed="64"/>
      </bottom>
      <diagonal/>
    </border>
    <border>
      <left/>
      <right style="medium">
        <color indexed="64"/>
      </right>
      <top style="thin">
        <color theme="8" tint="0.79998168889431442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5">
    <xf numFmtId="0" fontId="0" fillId="0" borderId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58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 applyAlignment="1">
      <alignment horizontal="center"/>
    </xf>
    <xf numFmtId="0" fontId="0" fillId="4" borderId="2" xfId="0" applyFill="1" applyBorder="1"/>
    <xf numFmtId="0" fontId="0" fillId="4" borderId="11" xfId="0" applyFill="1" applyBorder="1"/>
    <xf numFmtId="0" fontId="0" fillId="0" borderId="0" xfId="0" applyBorder="1" applyAlignment="1">
      <alignment horizontal="right"/>
    </xf>
    <xf numFmtId="0" fontId="3" fillId="4" borderId="12" xfId="0" applyFont="1" applyFill="1" applyBorder="1"/>
    <xf numFmtId="0" fontId="0" fillId="0" borderId="6" xfId="0" applyBorder="1" applyAlignment="1">
      <alignment horizontal="right"/>
    </xf>
    <xf numFmtId="0" fontId="0" fillId="0" borderId="13" xfId="0" applyBorder="1"/>
    <xf numFmtId="0" fontId="0" fillId="0" borderId="7" xfId="0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right"/>
    </xf>
    <xf numFmtId="2" fontId="0" fillId="0" borderId="0" xfId="0" applyNumberFormat="1" applyBorder="1"/>
    <xf numFmtId="2" fontId="4" fillId="0" borderId="0" xfId="0" applyNumberFormat="1" applyFont="1" applyBorder="1"/>
    <xf numFmtId="0" fontId="0" fillId="0" borderId="7" xfId="0" quotePrefix="1" applyBorder="1"/>
    <xf numFmtId="0" fontId="4" fillId="0" borderId="0" xfId="0" applyFont="1" applyBorder="1"/>
    <xf numFmtId="0" fontId="3" fillId="0" borderId="6" xfId="0" applyFont="1" applyFill="1" applyBorder="1"/>
    <xf numFmtId="0" fontId="0" fillId="0" borderId="7" xfId="0" applyFill="1" applyBorder="1"/>
    <xf numFmtId="2" fontId="0" fillId="0" borderId="0" xfId="0" applyNumberFormat="1" applyAlignment="1">
      <alignment horizontal="right"/>
    </xf>
    <xf numFmtId="0" fontId="5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3" fillId="0" borderId="6" xfId="0" applyFont="1" applyBorder="1"/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center"/>
    </xf>
    <xf numFmtId="0" fontId="0" fillId="4" borderId="1" xfId="0" applyFill="1" applyBorder="1"/>
    <xf numFmtId="0" fontId="0" fillId="0" borderId="0" xfId="0" applyFill="1" applyBorder="1"/>
    <xf numFmtId="0" fontId="0" fillId="0" borderId="9" xfId="0" applyFill="1" applyBorder="1"/>
    <xf numFmtId="0" fontId="3" fillId="0" borderId="9" xfId="0" applyFont="1" applyFill="1" applyBorder="1" applyAlignment="1">
      <alignment horizontal="center"/>
    </xf>
    <xf numFmtId="0" fontId="0" fillId="0" borderId="7" xfId="0" applyBorder="1" applyAlignment="1">
      <alignment horizontal="right"/>
    </xf>
    <xf numFmtId="164" fontId="0" fillId="0" borderId="1" xfId="0" applyNumberFormat="1" applyBorder="1"/>
    <xf numFmtId="164" fontId="0" fillId="0" borderId="0" xfId="0" applyNumberFormat="1" applyAlignment="1">
      <alignment horizontal="center"/>
    </xf>
    <xf numFmtId="0" fontId="4" fillId="0" borderId="0" xfId="0" applyFont="1" applyBorder="1" applyAlignment="1">
      <alignment horizontal="right"/>
    </xf>
    <xf numFmtId="2" fontId="0" fillId="0" borderId="0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right"/>
    </xf>
    <xf numFmtId="165" fontId="2" fillId="5" borderId="1" xfId="1" applyNumberFormat="1" applyFill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0" fontId="8" fillId="2" borderId="0" xfId="3" applyFont="1" applyFill="1"/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9" fillId="0" borderId="4" xfId="0" applyFont="1" applyBorder="1" applyAlignment="1">
      <alignment horizontal="right"/>
    </xf>
    <xf numFmtId="2" fontId="0" fillId="0" borderId="4" xfId="0" applyNumberFormat="1" applyBorder="1"/>
    <xf numFmtId="0" fontId="0" fillId="0" borderId="14" xfId="0" applyBorder="1"/>
    <xf numFmtId="0" fontId="10" fillId="0" borderId="1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2" fontId="3" fillId="0" borderId="16" xfId="0" applyNumberFormat="1" applyFont="1" applyBorder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0" fontId="8" fillId="2" borderId="0" xfId="3" applyFont="1" applyFill="1" applyBorder="1"/>
    <xf numFmtId="0" fontId="0" fillId="0" borderId="3" xfId="0" applyBorder="1" applyAlignment="1">
      <alignment horizontal="right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2" fontId="0" fillId="7" borderId="0" xfId="0" applyNumberFormat="1" applyFill="1" applyBorder="1" applyAlignment="1">
      <alignment horizontal="center"/>
    </xf>
    <xf numFmtId="0" fontId="5" fillId="0" borderId="6" xfId="0" applyFont="1" applyBorder="1"/>
    <xf numFmtId="0" fontId="3" fillId="0" borderId="0" xfId="0" applyFont="1" applyBorder="1" applyAlignment="1">
      <alignment horizontal="right"/>
    </xf>
    <xf numFmtId="9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9" fillId="0" borderId="0" xfId="0" applyFont="1" applyBorder="1" applyAlignment="1">
      <alignment horizontal="right"/>
    </xf>
    <xf numFmtId="0" fontId="0" fillId="0" borderId="9" xfId="0" applyBorder="1" applyAlignment="1">
      <alignment horizontal="right"/>
    </xf>
    <xf numFmtId="2" fontId="0" fillId="6" borderId="9" xfId="0" applyNumberForma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0" fontId="0" fillId="0" borderId="9" xfId="0" applyBorder="1" applyAlignment="1">
      <alignment horizontal="center"/>
    </xf>
    <xf numFmtId="0" fontId="0" fillId="0" borderId="7" xfId="0" applyBorder="1"/>
    <xf numFmtId="0" fontId="0" fillId="0" borderId="23" xfId="0" applyBorder="1"/>
    <xf numFmtId="167" fontId="0" fillId="0" borderId="24" xfId="0" applyNumberFormat="1" applyBorder="1" applyAlignment="1">
      <alignment horizontal="center"/>
    </xf>
    <xf numFmtId="2" fontId="0" fillId="7" borderId="24" xfId="0" applyNumberFormat="1" applyFill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4" xfId="0" applyNumberFormat="1" applyBorder="1"/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center"/>
    </xf>
    <xf numFmtId="2" fontId="0" fillId="6" borderId="27" xfId="0" applyNumberFormat="1" applyFill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2" fontId="0" fillId="6" borderId="30" xfId="0" applyNumberFormat="1" applyFill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0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right"/>
    </xf>
    <xf numFmtId="2" fontId="0" fillId="6" borderId="33" xfId="0" applyNumberFormat="1" applyFill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0" borderId="33" xfId="0" applyNumberFormat="1" applyBorder="1"/>
    <xf numFmtId="0" fontId="0" fillId="0" borderId="33" xfId="0" applyBorder="1" applyAlignment="1">
      <alignment horizontal="center"/>
    </xf>
    <xf numFmtId="0" fontId="0" fillId="0" borderId="34" xfId="0" applyBorder="1"/>
    <xf numFmtId="0" fontId="0" fillId="0" borderId="0" xfId="0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2" fontId="4" fillId="8" borderId="1" xfId="0" applyNumberFormat="1" applyFont="1" applyFill="1" applyBorder="1" applyAlignment="1" applyProtection="1">
      <alignment horizontal="center"/>
      <protection locked="0"/>
    </xf>
    <xf numFmtId="2" fontId="4" fillId="8" borderId="2" xfId="0" applyNumberFormat="1" applyFont="1" applyFill="1" applyBorder="1" applyAlignment="1" applyProtection="1">
      <alignment horizontal="center"/>
      <protection locked="0"/>
    </xf>
    <xf numFmtId="9" fontId="4" fillId="8" borderId="1" xfId="0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0" fillId="0" borderId="0" xfId="0" applyAlignment="1"/>
    <xf numFmtId="44" fontId="2" fillId="0" borderId="0" xfId="2" applyFont="1"/>
    <xf numFmtId="0" fontId="0" fillId="0" borderId="0" xfId="0" applyBorder="1" applyAlignment="1"/>
    <xf numFmtId="0" fontId="0" fillId="0" borderId="6" xfId="0" applyFill="1" applyBorder="1" applyAlignment="1">
      <alignment horizontal="left"/>
    </xf>
    <xf numFmtId="167" fontId="0" fillId="8" borderId="3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44" fontId="2" fillId="0" borderId="17" xfId="2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2" fontId="4" fillId="0" borderId="18" xfId="0" applyNumberFormat="1" applyFont="1" applyBorder="1" applyAlignment="1" applyProtection="1">
      <alignment horizontal="center"/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left"/>
    </xf>
    <xf numFmtId="0" fontId="0" fillId="0" borderId="0" xfId="0"/>
    <xf numFmtId="0" fontId="0" fillId="0" borderId="0" xfId="0" applyProtection="1"/>
    <xf numFmtId="0" fontId="2" fillId="0" borderId="0" xfId="2" applyNumberFormat="1" applyFont="1" applyAlignment="1">
      <alignment horizontal="center"/>
    </xf>
    <xf numFmtId="0" fontId="0" fillId="0" borderId="0" xfId="0" applyNumberFormat="1"/>
    <xf numFmtId="168" fontId="0" fillId="0" borderId="7" xfId="0" applyNumberFormat="1" applyBorder="1" applyAlignment="1">
      <alignment horizontal="center"/>
    </xf>
    <xf numFmtId="9" fontId="2" fillId="0" borderId="0" xfId="4" applyFont="1" applyAlignment="1">
      <alignment horizontal="center"/>
    </xf>
    <xf numFmtId="9" fontId="2" fillId="0" borderId="17" xfId="4" applyFont="1" applyBorder="1" applyAlignment="1" applyProtection="1">
      <alignment horizontal="center"/>
      <protection locked="0"/>
    </xf>
    <xf numFmtId="9" fontId="4" fillId="0" borderId="18" xfId="4" applyFont="1" applyBorder="1" applyAlignment="1" applyProtection="1">
      <alignment horizontal="center"/>
      <protection locked="0"/>
    </xf>
    <xf numFmtId="0" fontId="2" fillId="0" borderId="0" xfId="4" applyNumberFormat="1" applyFont="1" applyAlignment="1">
      <alignment horizontal="center"/>
    </xf>
    <xf numFmtId="0" fontId="0" fillId="0" borderId="17" xfId="0" applyBorder="1" applyAlignment="1" applyProtection="1">
      <alignment horizontal="left"/>
      <protection locked="0"/>
    </xf>
    <xf numFmtId="9" fontId="2" fillId="0" borderId="0" xfId="4" applyFont="1" applyBorder="1" applyAlignment="1">
      <alignment horizontal="center"/>
    </xf>
    <xf numFmtId="9" fontId="0" fillId="0" borderId="0" xfId="0" applyNumberFormat="1" applyAlignment="1">
      <alignment horizontal="right"/>
    </xf>
    <xf numFmtId="0" fontId="0" fillId="0" borderId="19" xfId="0" applyBorder="1"/>
    <xf numFmtId="0" fontId="3" fillId="0" borderId="19" xfId="0" applyFont="1" applyBorder="1" applyAlignment="1">
      <alignment horizontal="right"/>
    </xf>
    <xf numFmtId="0" fontId="0" fillId="0" borderId="0" xfId="0" applyBorder="1" applyAlignment="1">
      <alignment horizontal="center"/>
    </xf>
    <xf numFmtId="2" fontId="3" fillId="0" borderId="19" xfId="0" applyNumberFormat="1" applyFont="1" applyBorder="1"/>
    <xf numFmtId="0" fontId="0" fillId="0" borderId="0" xfId="0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/>
    </xf>
    <xf numFmtId="2" fontId="0" fillId="0" borderId="0" xfId="0" applyNumberFormat="1" applyAlignment="1">
      <alignment vertical="top"/>
    </xf>
    <xf numFmtId="166" fontId="0" fillId="0" borderId="1" xfId="0" applyNumberFormat="1" applyBorder="1"/>
    <xf numFmtId="0" fontId="6" fillId="0" borderId="0" xfId="0" applyFont="1"/>
    <xf numFmtId="2" fontId="0" fillId="0" borderId="19" xfId="0" applyNumberFormat="1" applyBorder="1"/>
    <xf numFmtId="9" fontId="0" fillId="0" borderId="7" xfId="0" applyNumberFormat="1" applyBorder="1" applyAlignment="1">
      <alignment horizontal="left"/>
    </xf>
    <xf numFmtId="2" fontId="0" fillId="0" borderId="0" xfId="0" applyNumberFormat="1" applyAlignment="1"/>
    <xf numFmtId="2" fontId="0" fillId="0" borderId="0" xfId="0" applyNumberFormat="1" applyBorder="1" applyAlignment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 wrapText="1"/>
    </xf>
    <xf numFmtId="173" fontId="0" fillId="0" borderId="0" xfId="0" applyNumberFormat="1" applyAlignment="1">
      <alignment horizontal="center" wrapText="1"/>
    </xf>
    <xf numFmtId="173" fontId="0" fillId="0" borderId="0" xfId="0" applyNumberFormat="1" applyAlignment="1">
      <alignment horizontal="right" wrapText="1"/>
    </xf>
    <xf numFmtId="173" fontId="0" fillId="0" borderId="0" xfId="0" applyNumberFormat="1" applyAlignment="1">
      <alignment horizontal="left" wrapText="1"/>
    </xf>
    <xf numFmtId="173" fontId="0" fillId="0" borderId="1" xfId="0" applyNumberFormat="1" applyBorder="1"/>
    <xf numFmtId="2" fontId="10" fillId="0" borderId="16" xfId="0" applyNumberFormat="1" applyFont="1" applyBorder="1" applyAlignment="1">
      <alignment horizontal="right"/>
    </xf>
    <xf numFmtId="173" fontId="0" fillId="0" borderId="2" xfId="0" applyNumberFormat="1" applyFill="1" applyBorder="1" applyAlignment="1">
      <alignment horizontal="right"/>
    </xf>
    <xf numFmtId="172" fontId="4" fillId="8" borderId="1" xfId="0" applyNumberFormat="1" applyFont="1" applyFill="1" applyBorder="1" applyAlignment="1" applyProtection="1">
      <alignment horizontal="center"/>
      <protection locked="0"/>
    </xf>
    <xf numFmtId="174" fontId="0" fillId="0" borderId="7" xfId="0" applyNumberFormat="1" applyBorder="1" applyAlignment="1">
      <alignment horizontal="center"/>
    </xf>
    <xf numFmtId="172" fontId="0" fillId="0" borderId="17" xfId="0" applyNumberFormat="1" applyFill="1" applyBorder="1" applyAlignment="1" applyProtection="1">
      <alignment horizontal="center"/>
      <protection locked="0"/>
    </xf>
    <xf numFmtId="172" fontId="4" fillId="0" borderId="18" xfId="0" applyNumberFormat="1" applyFont="1" applyFill="1" applyBorder="1" applyAlignment="1" applyProtection="1">
      <alignment horizontal="center"/>
      <protection locked="0"/>
    </xf>
    <xf numFmtId="172" fontId="0" fillId="0" borderId="18" xfId="0" applyNumberFormat="1" applyBorder="1" applyProtection="1">
      <protection locked="0"/>
    </xf>
    <xf numFmtId="172" fontId="0" fillId="0" borderId="17" xfId="0" applyNumberFormat="1" applyBorder="1" applyAlignment="1" applyProtection="1">
      <alignment horizontal="center"/>
      <protection locked="0"/>
    </xf>
    <xf numFmtId="172" fontId="4" fillId="0" borderId="18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wrapText="1"/>
    </xf>
    <xf numFmtId="0" fontId="4" fillId="0" borderId="17" xfId="0" applyFont="1" applyBorder="1" applyAlignment="1" applyProtection="1">
      <alignment horizontal="left"/>
      <protection locked="0"/>
    </xf>
    <xf numFmtId="44" fontId="4" fillId="0" borderId="18" xfId="2" applyFont="1" applyBorder="1" applyProtection="1">
      <protection locked="0"/>
    </xf>
    <xf numFmtId="0" fontId="0" fillId="0" borderId="0" xfId="0" applyAlignment="1">
      <alignment horizontal="left" vertical="top" wrapText="1"/>
    </xf>
    <xf numFmtId="9" fontId="2" fillId="0" borderId="0" xfId="4" applyFont="1" applyAlignment="1">
      <alignment horizontal="left"/>
    </xf>
    <xf numFmtId="2" fontId="0" fillId="0" borderId="0" xfId="0" applyNumberFormat="1" applyAlignment="1">
      <alignment horizontal="right" wrapText="1"/>
    </xf>
    <xf numFmtId="0" fontId="0" fillId="0" borderId="0" xfId="0" applyAlignment="1">
      <alignment horizontal="left" vertical="top" wrapText="1"/>
    </xf>
    <xf numFmtId="0" fontId="13" fillId="0" borderId="0" xfId="0" applyFont="1" applyAlignment="1">
      <alignment horizontal="center"/>
    </xf>
    <xf numFmtId="2" fontId="0" fillId="0" borderId="7" xfId="0" applyNumberFormat="1" applyBorder="1" applyAlignment="1">
      <alignment horizontal="left"/>
    </xf>
    <xf numFmtId="2" fontId="0" fillId="0" borderId="7" xfId="0" applyNumberFormat="1" applyFill="1" applyBorder="1" applyAlignment="1">
      <alignment horizontal="left"/>
    </xf>
    <xf numFmtId="0" fontId="0" fillId="0" borderId="20" xfId="0" applyBorder="1"/>
    <xf numFmtId="1" fontId="0" fillId="0" borderId="0" xfId="0" applyNumberFormat="1" applyBorder="1" applyAlignment="1">
      <alignment horizontal="right"/>
    </xf>
    <xf numFmtId="0" fontId="0" fillId="0" borderId="0" xfId="0" applyAlignment="1">
      <alignment horizontal="left" vertical="top"/>
    </xf>
    <xf numFmtId="1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171" fontId="0" fillId="0" borderId="0" xfId="0" applyNumberFormat="1" applyAlignment="1">
      <alignment horizontal="right"/>
    </xf>
    <xf numFmtId="165" fontId="0" fillId="0" borderId="2" xfId="0" applyNumberFormat="1" applyBorder="1"/>
    <xf numFmtId="0" fontId="0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71" fontId="2" fillId="0" borderId="0" xfId="4" applyNumberFormat="1" applyFont="1" applyAlignment="1">
      <alignment horizontal="right"/>
    </xf>
    <xf numFmtId="7" fontId="2" fillId="0" borderId="0" xfId="2" applyNumberFormat="1" applyFont="1" applyAlignment="1"/>
    <xf numFmtId="1" fontId="0" fillId="0" borderId="2" xfId="0" applyNumberFormat="1" applyBorder="1" applyAlignment="1">
      <alignment horizontal="center"/>
    </xf>
    <xf numFmtId="0" fontId="3" fillId="0" borderId="9" xfId="0" applyFont="1" applyFill="1" applyBorder="1" applyAlignment="1">
      <alignment horizontal="right"/>
    </xf>
    <xf numFmtId="1" fontId="0" fillId="0" borderId="2" xfId="0" applyNumberFormat="1" applyBorder="1" applyAlignment="1">
      <alignment horizontal="right"/>
    </xf>
    <xf numFmtId="7" fontId="0" fillId="0" borderId="2" xfId="0" applyNumberFormat="1" applyBorder="1" applyAlignment="1">
      <alignment horizontal="right"/>
    </xf>
    <xf numFmtId="0" fontId="0" fillId="0" borderId="2" xfId="0" applyBorder="1"/>
    <xf numFmtId="169" fontId="0" fillId="0" borderId="2" xfId="0" applyNumberFormat="1" applyFill="1" applyBorder="1" applyAlignment="1">
      <alignment horizontal="center"/>
    </xf>
    <xf numFmtId="169" fontId="0" fillId="0" borderId="2" xfId="0" applyNumberFormat="1" applyFont="1" applyFill="1" applyBorder="1" applyAlignment="1">
      <alignment horizontal="right"/>
    </xf>
    <xf numFmtId="0" fontId="6" fillId="0" borderId="2" xfId="0" applyFont="1" applyFill="1" applyBorder="1"/>
    <xf numFmtId="1" fontId="0" fillId="0" borderId="1" xfId="0" applyNumberFormat="1" applyBorder="1" applyAlignment="1">
      <alignment horizontal="right"/>
    </xf>
    <xf numFmtId="7" fontId="0" fillId="0" borderId="1" xfId="0" applyNumberFormat="1" applyBorder="1" applyAlignment="1">
      <alignment horizontal="right"/>
    </xf>
    <xf numFmtId="0" fontId="0" fillId="0" borderId="1" xfId="0" applyBorder="1"/>
    <xf numFmtId="0" fontId="0" fillId="0" borderId="6" xfId="0" applyFill="1" applyBorder="1" applyAlignment="1">
      <alignment horizontal="right"/>
    </xf>
    <xf numFmtId="44" fontId="4" fillId="8" borderId="1" xfId="2" applyFont="1" applyFill="1" applyBorder="1" applyProtection="1">
      <protection locked="0"/>
    </xf>
    <xf numFmtId="0" fontId="14" fillId="0" borderId="0" xfId="0" applyFont="1" applyBorder="1" applyAlignment="1">
      <alignment horizontal="center"/>
    </xf>
    <xf numFmtId="170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4" fontId="0" fillId="8" borderId="2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0" fontId="3" fillId="0" borderId="0" xfId="0" applyFont="1" applyBorder="1" applyAlignment="1">
      <alignment horizontal="left"/>
    </xf>
    <xf numFmtId="0" fontId="15" fillId="0" borderId="0" xfId="0" applyFont="1"/>
    <xf numFmtId="0" fontId="4" fillId="8" borderId="1" xfId="0" applyFont="1" applyFill="1" applyBorder="1" applyAlignment="1" applyProtection="1">
      <alignment horizontal="left"/>
      <protection locked="0"/>
    </xf>
    <xf numFmtId="2" fontId="16" fillId="0" borderId="0" xfId="0" applyNumberFormat="1" applyFont="1"/>
    <xf numFmtId="0" fontId="11" fillId="0" borderId="0" xfId="0" applyFont="1" applyAlignment="1">
      <alignment wrapText="1"/>
    </xf>
    <xf numFmtId="0" fontId="9" fillId="0" borderId="21" xfId="0" applyFont="1" applyBorder="1" applyAlignment="1">
      <alignment horizontal="center" wrapText="1"/>
    </xf>
    <xf numFmtId="9" fontId="9" fillId="0" borderId="21" xfId="4" applyFont="1" applyBorder="1" applyAlignment="1">
      <alignment horizontal="center" wrapText="1"/>
    </xf>
    <xf numFmtId="44" fontId="9" fillId="0" borderId="21" xfId="2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 applyProtection="1">
      <alignment horizontal="center" wrapText="1"/>
      <protection hidden="1"/>
    </xf>
    <xf numFmtId="9" fontId="0" fillId="0" borderId="0" xfId="4" applyFont="1" applyAlignment="1">
      <alignment horizontal="center"/>
    </xf>
    <xf numFmtId="0" fontId="0" fillId="0" borderId="19" xfId="0" applyNumberFormat="1" applyBorder="1" applyAlignment="1">
      <alignment horizontal="left"/>
    </xf>
    <xf numFmtId="49" fontId="0" fillId="8" borderId="2" xfId="0" applyNumberFormat="1" applyFill="1" applyBorder="1" applyAlignment="1" applyProtection="1">
      <alignment horizontal="center"/>
      <protection locked="0"/>
    </xf>
    <xf numFmtId="49" fontId="0" fillId="8" borderId="1" xfId="0" applyNumberFormat="1" applyFill="1" applyBorder="1" applyAlignment="1" applyProtection="1">
      <alignment horizontal="center"/>
      <protection locked="0"/>
    </xf>
    <xf numFmtId="49" fontId="0" fillId="8" borderId="11" xfId="0" applyNumberFormat="1" applyFill="1" applyBorder="1" applyAlignment="1" applyProtection="1">
      <alignment horizontal="center"/>
      <protection locked="0"/>
    </xf>
    <xf numFmtId="49" fontId="0" fillId="8" borderId="22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2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7" fontId="0" fillId="0" borderId="1" xfId="0" applyNumberFormat="1" applyBorder="1" applyAlignment="1">
      <alignment horizontal="left"/>
    </xf>
    <xf numFmtId="7" fontId="0" fillId="0" borderId="2" xfId="0" applyNumberFormat="1" applyBorder="1" applyAlignment="1">
      <alignment horizontal="left"/>
    </xf>
    <xf numFmtId="7" fontId="3" fillId="0" borderId="9" xfId="0" applyNumberFormat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8" borderId="0" xfId="0" applyFont="1" applyFill="1" applyAlignment="1" applyProtection="1">
      <alignment horizontal="center" wrapText="1"/>
      <protection locked="0"/>
    </xf>
  </cellXfs>
  <cellStyles count="5">
    <cellStyle name="40% - Accent2" xfId="1" builtinId="35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4">
    <dxf>
      <font>
        <color theme="0"/>
      </font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 patternType="none">
          <bgColor indexed="65"/>
        </patternFill>
      </fill>
      <border>
        <bottom/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1</xdr:row>
      <xdr:rowOff>66675</xdr:rowOff>
    </xdr:from>
    <xdr:to>
      <xdr:col>12</xdr:col>
      <xdr:colOff>447675</xdr:colOff>
      <xdr:row>5</xdr:row>
      <xdr:rowOff>85725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287DCBE-37DD-41ED-84B6-DAADBE671D0E}"/>
            </a:ext>
          </a:extLst>
        </xdr:cNvPr>
        <xdr:cNvSpPr txBox="1"/>
      </xdr:nvSpPr>
      <xdr:spPr>
        <a:xfrm>
          <a:off x="6820958" y="161925"/>
          <a:ext cx="1341967" cy="759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Member  LOGO HERE</a:t>
          </a:r>
        </a:p>
      </xdr:txBody>
    </xdr:sp>
    <xdr:clientData/>
  </xdr:twoCellAnchor>
  <xdr:twoCellAnchor>
    <xdr:from>
      <xdr:col>9</xdr:col>
      <xdr:colOff>209550</xdr:colOff>
      <xdr:row>27</xdr:row>
      <xdr:rowOff>133350</xdr:rowOff>
    </xdr:from>
    <xdr:to>
      <xdr:col>12</xdr:col>
      <xdr:colOff>209550</xdr:colOff>
      <xdr:row>36</xdr:row>
      <xdr:rowOff>133350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270C8BBC-350E-42CA-AE27-B40D882546F8}"/>
            </a:ext>
          </a:extLst>
        </xdr:cNvPr>
        <xdr:cNvSpPr/>
      </xdr:nvSpPr>
      <xdr:spPr>
        <a:xfrm>
          <a:off x="5476875" y="4610100"/>
          <a:ext cx="1828800" cy="1524000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9</xdr:col>
      <xdr:colOff>504825</xdr:colOff>
      <xdr:row>30</xdr:row>
      <xdr:rowOff>85725</xdr:rowOff>
    </xdr:from>
    <xdr:to>
      <xdr:col>11</xdr:col>
      <xdr:colOff>552450</xdr:colOff>
      <xdr:row>32</xdr:row>
      <xdr:rowOff>171450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16EE7F6-86B2-4AA3-9811-17FEF85E3A55}"/>
            </a:ext>
          </a:extLst>
        </xdr:cNvPr>
        <xdr:cNvSpPr txBox="1"/>
      </xdr:nvSpPr>
      <xdr:spPr>
        <a:xfrm>
          <a:off x="5772150" y="5133975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Detention System </a:t>
          </a:r>
        </a:p>
        <a:p>
          <a:pPr algn="ctr"/>
          <a:r>
            <a:rPr lang="en-US" sz="1100"/>
            <a:t>Footprint</a:t>
          </a:r>
        </a:p>
      </xdr:txBody>
    </xdr:sp>
    <xdr:clientData/>
  </xdr:twoCellAnchor>
  <xdr:twoCellAnchor>
    <xdr:from>
      <xdr:col>9</xdr:col>
      <xdr:colOff>219076</xdr:colOff>
      <xdr:row>25</xdr:row>
      <xdr:rowOff>165101</xdr:rowOff>
    </xdr:from>
    <xdr:to>
      <xdr:col>9</xdr:col>
      <xdr:colOff>222249</xdr:colOff>
      <xdr:row>27</xdr:row>
      <xdr:rowOff>47627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406A5364-A2DB-4FF2-BF18-C9135A1BB750}"/>
            </a:ext>
          </a:extLst>
        </xdr:cNvPr>
        <xdr:cNvCxnSpPr/>
      </xdr:nvCxnSpPr>
      <xdr:spPr>
        <a:xfrm rot="5400000" flipH="1" flipV="1">
          <a:off x="5657850" y="4752977"/>
          <a:ext cx="263526" cy="317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200024</xdr:colOff>
      <xdr:row>26</xdr:row>
      <xdr:rowOff>1</xdr:rowOff>
    </xdr:from>
    <xdr:to>
      <xdr:col>12</xdr:col>
      <xdr:colOff>203199</xdr:colOff>
      <xdr:row>27</xdr:row>
      <xdr:rowOff>38101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98A0F700-B629-4E30-A1D3-2478F88CBA87}"/>
            </a:ext>
          </a:extLst>
        </xdr:cNvPr>
        <xdr:cNvCxnSpPr/>
      </xdr:nvCxnSpPr>
      <xdr:spPr>
        <a:xfrm rot="5400000" flipH="1" flipV="1">
          <a:off x="7485062" y="4760913"/>
          <a:ext cx="228600" cy="3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219076</xdr:colOff>
      <xdr:row>26</xdr:row>
      <xdr:rowOff>95250</xdr:rowOff>
    </xdr:from>
    <xdr:to>
      <xdr:col>10</xdr:col>
      <xdr:colOff>1</xdr:colOff>
      <xdr:row>26</xdr:row>
      <xdr:rowOff>96838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A8DA76E2-7C28-4D68-B059-140D3677FA58}"/>
            </a:ext>
          </a:extLst>
        </xdr:cNvPr>
        <xdr:cNvCxnSpPr/>
      </xdr:nvCxnSpPr>
      <xdr:spPr>
        <a:xfrm rot="10800000">
          <a:off x="5486401" y="4381500"/>
          <a:ext cx="390525" cy="1588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26</xdr:row>
      <xdr:rowOff>104775</xdr:rowOff>
    </xdr:from>
    <xdr:to>
      <xdr:col>12</xdr:col>
      <xdr:colOff>200025</xdr:colOff>
      <xdr:row>26</xdr:row>
      <xdr:rowOff>106363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8F187343-580B-45FB-9533-75A7AA36743E}"/>
            </a:ext>
          </a:extLst>
        </xdr:cNvPr>
        <xdr:cNvCxnSpPr/>
      </xdr:nvCxnSpPr>
      <xdr:spPr>
        <a:xfrm>
          <a:off x="6638925" y="4391025"/>
          <a:ext cx="657225" cy="1588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228601</xdr:colOff>
      <xdr:row>27</xdr:row>
      <xdr:rowOff>123825</xdr:rowOff>
    </xdr:from>
    <xdr:to>
      <xdr:col>9</xdr:col>
      <xdr:colOff>123826</xdr:colOff>
      <xdr:row>27</xdr:row>
      <xdr:rowOff>123825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D07B7D3D-6917-4118-8CCE-98C168D7BE44}"/>
            </a:ext>
          </a:extLst>
        </xdr:cNvPr>
        <xdr:cNvCxnSpPr/>
      </xdr:nvCxnSpPr>
      <xdr:spPr>
        <a:xfrm rot="10800000">
          <a:off x="4886326" y="4600575"/>
          <a:ext cx="504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36</xdr:row>
      <xdr:rowOff>123825</xdr:rowOff>
    </xdr:from>
    <xdr:to>
      <xdr:col>9</xdr:col>
      <xdr:colOff>142875</xdr:colOff>
      <xdr:row>36</xdr:row>
      <xdr:rowOff>123825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8B400882-B432-4E79-A328-A9CF3192FAE5}"/>
            </a:ext>
          </a:extLst>
        </xdr:cNvPr>
        <xdr:cNvCxnSpPr/>
      </xdr:nvCxnSpPr>
      <xdr:spPr>
        <a:xfrm rot="10800000">
          <a:off x="4905375" y="6124575"/>
          <a:ext cx="504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438946</xdr:colOff>
      <xdr:row>27</xdr:row>
      <xdr:rowOff>115095</xdr:rowOff>
    </xdr:from>
    <xdr:to>
      <xdr:col>8</xdr:col>
      <xdr:colOff>447679</xdr:colOff>
      <xdr:row>30</xdr:row>
      <xdr:rowOff>19050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2D4BBF41-C8C0-4A4F-BF60-5E8258D37084}"/>
            </a:ext>
          </a:extLst>
        </xdr:cNvPr>
        <xdr:cNvCxnSpPr/>
      </xdr:nvCxnSpPr>
      <xdr:spPr>
        <a:xfrm rot="16200000" flipV="1">
          <a:off x="5158585" y="5187156"/>
          <a:ext cx="475455" cy="8733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446883</xdr:colOff>
      <xdr:row>33</xdr:row>
      <xdr:rowOff>85728</xdr:rowOff>
    </xdr:from>
    <xdr:to>
      <xdr:col>8</xdr:col>
      <xdr:colOff>447676</xdr:colOff>
      <xdr:row>36</xdr:row>
      <xdr:rowOff>134143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7EF02F9B-9CC3-4984-8979-7B01390B915B}"/>
            </a:ext>
          </a:extLst>
        </xdr:cNvPr>
        <xdr:cNvCxnSpPr/>
      </xdr:nvCxnSpPr>
      <xdr:spPr>
        <a:xfrm rot="5400000">
          <a:off x="5090322" y="6376989"/>
          <a:ext cx="619915" cy="793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638175</xdr:colOff>
      <xdr:row>28</xdr:row>
      <xdr:rowOff>171450</xdr:rowOff>
    </xdr:from>
    <xdr:to>
      <xdr:col>5</xdr:col>
      <xdr:colOff>219075</xdr:colOff>
      <xdr:row>34</xdr:row>
      <xdr:rowOff>9525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FA8A0265-82A3-48D5-AC25-77FAFBAFF15B}"/>
            </a:ext>
          </a:extLst>
        </xdr:cNvPr>
        <xdr:cNvSpPr/>
      </xdr:nvSpPr>
      <xdr:spPr>
        <a:xfrm>
          <a:off x="1390650" y="4838700"/>
          <a:ext cx="1876425" cy="9810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2</xdr:col>
      <xdr:colOff>485775</xdr:colOff>
      <xdr:row>27</xdr:row>
      <xdr:rowOff>180975</xdr:rowOff>
    </xdr:from>
    <xdr:to>
      <xdr:col>5</xdr:col>
      <xdr:colOff>352425</xdr:colOff>
      <xdr:row>34</xdr:row>
      <xdr:rowOff>161925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F4DCC555-FC28-42E2-A81C-6F06387857E3}"/>
            </a:ext>
          </a:extLst>
        </xdr:cNvPr>
        <xdr:cNvSpPr/>
      </xdr:nvSpPr>
      <xdr:spPr>
        <a:xfrm>
          <a:off x="1238250" y="4657725"/>
          <a:ext cx="1943100" cy="13144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2</xdr:col>
      <xdr:colOff>0</xdr:colOff>
      <xdr:row>25</xdr:row>
      <xdr:rowOff>180975</xdr:rowOff>
    </xdr:from>
    <xdr:to>
      <xdr:col>6</xdr:col>
      <xdr:colOff>0</xdr:colOff>
      <xdr:row>26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3E2CA05-F2A4-4779-AD6A-FC500E6ADEB2}"/>
            </a:ext>
          </a:extLst>
        </xdr:cNvPr>
        <xdr:cNvCxnSpPr/>
      </xdr:nvCxnSpPr>
      <xdr:spPr>
        <a:xfrm>
          <a:off x="752475" y="4276725"/>
          <a:ext cx="2686050" cy="9525"/>
        </a:xfrm>
        <a:prstGeom prst="line">
          <a:avLst/>
        </a:prstGeom>
        <a:ln w="2540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27</xdr:row>
      <xdr:rowOff>180975</xdr:rowOff>
    </xdr:from>
    <xdr:to>
      <xdr:col>6</xdr:col>
      <xdr:colOff>590550</xdr:colOff>
      <xdr:row>27</xdr:row>
      <xdr:rowOff>180975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9E513A2-9E8B-435B-9514-60A3B5F4C627}"/>
            </a:ext>
          </a:extLst>
        </xdr:cNvPr>
        <xdr:cNvCxnSpPr/>
      </xdr:nvCxnSpPr>
      <xdr:spPr>
        <a:xfrm>
          <a:off x="3257550" y="4657725"/>
          <a:ext cx="847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276225</xdr:colOff>
      <xdr:row>28</xdr:row>
      <xdr:rowOff>180975</xdr:rowOff>
    </xdr:from>
    <xdr:to>
      <xdr:col>6</xdr:col>
      <xdr:colOff>581025</xdr:colOff>
      <xdr:row>28</xdr:row>
      <xdr:rowOff>180975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6876A9FD-09E8-4D03-AD14-20D936C7D02A}"/>
            </a:ext>
          </a:extLst>
        </xdr:cNvPr>
        <xdr:cNvCxnSpPr/>
      </xdr:nvCxnSpPr>
      <xdr:spPr>
        <a:xfrm>
          <a:off x="3105150" y="4848225"/>
          <a:ext cx="9906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34</xdr:row>
      <xdr:rowOff>9525</xdr:rowOff>
    </xdr:from>
    <xdr:to>
      <xdr:col>6</xdr:col>
      <xdr:colOff>571500</xdr:colOff>
      <xdr:row>34</xdr:row>
      <xdr:rowOff>9525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D316B137-DC9D-4E72-B548-2B6A02C390DF}"/>
            </a:ext>
          </a:extLst>
        </xdr:cNvPr>
        <xdr:cNvCxnSpPr/>
      </xdr:nvCxnSpPr>
      <xdr:spPr>
        <a:xfrm>
          <a:off x="3086100" y="5819775"/>
          <a:ext cx="10001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34</xdr:row>
      <xdr:rowOff>171450</xdr:rowOff>
    </xdr:from>
    <xdr:to>
      <xdr:col>6</xdr:col>
      <xdr:colOff>590550</xdr:colOff>
      <xdr:row>34</xdr:row>
      <xdr:rowOff>171450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9EABF1E8-371E-4FCC-A9D4-F7B67D9D4505}"/>
            </a:ext>
          </a:extLst>
        </xdr:cNvPr>
        <xdr:cNvCxnSpPr/>
      </xdr:nvCxnSpPr>
      <xdr:spPr>
        <a:xfrm>
          <a:off x="3248025" y="5981700"/>
          <a:ext cx="857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36</xdr:row>
      <xdr:rowOff>0</xdr:rowOff>
    </xdr:from>
    <xdr:to>
      <xdr:col>6</xdr:col>
      <xdr:colOff>552450</xdr:colOff>
      <xdr:row>36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F3D55298-1481-4B25-AFE0-7A7AEA42E5E3}"/>
            </a:ext>
          </a:extLst>
        </xdr:cNvPr>
        <xdr:cNvCxnSpPr/>
      </xdr:nvCxnSpPr>
      <xdr:spPr>
        <a:xfrm>
          <a:off x="771525" y="6191250"/>
          <a:ext cx="329565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114300</xdr:colOff>
      <xdr:row>1</xdr:row>
      <xdr:rowOff>95250</xdr:rowOff>
    </xdr:from>
    <xdr:to>
      <xdr:col>3</xdr:col>
      <xdr:colOff>114300</xdr:colOff>
      <xdr:row>5</xdr:row>
      <xdr:rowOff>114300</xdr:rowOff>
    </xdr:to>
    <xdr:pic>
      <xdr:nvPicPr>
        <xdr:cNvPr id="27638" name="Picture 37" descr="New Image.TIF">
          <a:extLst>
            <a:ext uri="{FF2B5EF4-FFF2-40B4-BE49-F238E27FC236}">
              <a16:creationId xmlns:a16="http://schemas.microsoft.com/office/drawing/2014/main" id="{64DE449C-C3D9-4681-A5E6-57B5B6B51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0"/>
          <a:ext cx="1571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158750</xdr:colOff>
      <xdr:row>1</xdr:row>
      <xdr:rowOff>42334</xdr:rowOff>
    </xdr:from>
    <xdr:to>
      <xdr:col>12</xdr:col>
      <xdr:colOff>550334</xdr:colOff>
      <xdr:row>5</xdr:row>
      <xdr:rowOff>182714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68EC3D-5540-43AA-9828-1935C7BF4A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6" t="22059" r="6183" b="27696"/>
        <a:stretch/>
      </xdr:blipFill>
      <xdr:spPr>
        <a:xfrm>
          <a:off x="6646333" y="232834"/>
          <a:ext cx="1619251" cy="8917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14</xdr:row>
      <xdr:rowOff>66675</xdr:rowOff>
    </xdr:from>
    <xdr:to>
      <xdr:col>12</xdr:col>
      <xdr:colOff>514350</xdr:colOff>
      <xdr:row>27</xdr:row>
      <xdr:rowOff>19050</xdr:rowOff>
    </xdr:to>
    <xdr:grpSp>
      <xdr:nvGrpSpPr>
        <xdr:cNvPr id="29018" name="Group 38">
          <a:extLst>
            <a:ext uri="{FF2B5EF4-FFF2-40B4-BE49-F238E27FC236}">
              <a16:creationId xmlns:a16="http://schemas.microsoft.com/office/drawing/2014/main" id="{BD8E20BA-37A8-4C99-8D0B-D4CF3EEFE224}"/>
            </a:ext>
          </a:extLst>
        </xdr:cNvPr>
        <xdr:cNvGrpSpPr>
          <a:grpSpLocks/>
        </xdr:cNvGrpSpPr>
      </xdr:nvGrpSpPr>
      <xdr:grpSpPr bwMode="auto">
        <a:xfrm>
          <a:off x="4630208" y="2744258"/>
          <a:ext cx="3599392" cy="2428875"/>
          <a:chOff x="4619625" y="2743200"/>
          <a:chExt cx="3581400" cy="2428875"/>
        </a:xfrm>
      </xdr:grpSpPr>
      <xdr:cxnSp macro="">
        <xdr:nvCxnSpPr>
          <xdr:cNvPr id="3" name="Straight Arrow Connector 2">
            <a:extLst>
              <a:ext uri="{FF2B5EF4-FFF2-40B4-BE49-F238E27FC236}">
                <a16:creationId xmlns:a16="http://schemas.microsoft.com/office/drawing/2014/main" id="{F121DBE5-39F1-4A49-ACA8-38823812D83E}"/>
              </a:ext>
            </a:extLst>
          </xdr:cNvPr>
          <xdr:cNvCxnSpPr/>
        </xdr:nvCxnSpPr>
        <xdr:spPr bwMode="auto">
          <a:xfrm rot="5400000">
            <a:off x="6877050" y="4705350"/>
            <a:ext cx="180975" cy="952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3D545952-75BE-4766-B6C6-11E014F0E944}"/>
              </a:ext>
            </a:extLst>
          </xdr:cNvPr>
          <xdr:cNvCxnSpPr/>
        </xdr:nvCxnSpPr>
        <xdr:spPr bwMode="auto">
          <a:xfrm rot="16200000" flipV="1">
            <a:off x="6867525" y="5048250"/>
            <a:ext cx="238125" cy="952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EAAEDFB8-C60D-490E-806E-3CACDDA52156}"/>
              </a:ext>
            </a:extLst>
          </xdr:cNvPr>
          <xdr:cNvSpPr/>
        </xdr:nvSpPr>
        <xdr:spPr bwMode="auto">
          <a:xfrm>
            <a:off x="5095875" y="3533775"/>
            <a:ext cx="2295525" cy="1247775"/>
          </a:xfrm>
          <a:prstGeom prst="rec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5043CC4B-B65B-4FD2-9F3F-D025056AA902}"/>
              </a:ext>
            </a:extLst>
          </xdr:cNvPr>
          <xdr:cNvSpPr/>
        </xdr:nvSpPr>
        <xdr:spPr bwMode="auto">
          <a:xfrm>
            <a:off x="4914900" y="3362325"/>
            <a:ext cx="2638425" cy="1571625"/>
          </a:xfrm>
          <a:prstGeom prst="rec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" name="Flowchart: Data 6">
            <a:extLst>
              <a:ext uri="{FF2B5EF4-FFF2-40B4-BE49-F238E27FC236}">
                <a16:creationId xmlns:a16="http://schemas.microsoft.com/office/drawing/2014/main" id="{0F75630A-55E3-4A35-BC50-A5381DAFEC92}"/>
              </a:ext>
            </a:extLst>
          </xdr:cNvPr>
          <xdr:cNvSpPr/>
        </xdr:nvSpPr>
        <xdr:spPr bwMode="auto">
          <a:xfrm>
            <a:off x="4914900" y="2762250"/>
            <a:ext cx="3267075" cy="600075"/>
          </a:xfrm>
          <a:prstGeom prst="flowChartInputOutpu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US"/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CAF59637-0E1F-4964-8ADF-1C761EB51D1F}"/>
              </a:ext>
            </a:extLst>
          </xdr:cNvPr>
          <xdr:cNvCxnSpPr/>
        </xdr:nvCxnSpPr>
        <xdr:spPr bwMode="auto">
          <a:xfrm flipV="1">
            <a:off x="7562850" y="4343400"/>
            <a:ext cx="638175" cy="581025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839DBD53-F4EC-491C-93E4-51C5485AAD8B}"/>
              </a:ext>
            </a:extLst>
          </xdr:cNvPr>
          <xdr:cNvCxnSpPr/>
        </xdr:nvCxnSpPr>
        <xdr:spPr bwMode="auto">
          <a:xfrm flipV="1">
            <a:off x="5105400" y="4562475"/>
            <a:ext cx="2276475" cy="9525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E551CB32-EB70-42BB-96D5-5FB4F52A3BE9}"/>
              </a:ext>
            </a:extLst>
          </xdr:cNvPr>
          <xdr:cNvCxnSpPr/>
        </xdr:nvCxnSpPr>
        <xdr:spPr bwMode="auto">
          <a:xfrm rot="16200000" flipH="1">
            <a:off x="5414963" y="4148137"/>
            <a:ext cx="1219200" cy="28575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6FE72E0D-243A-4C44-8661-E61A73228FA9}"/>
              </a:ext>
            </a:extLst>
          </xdr:cNvPr>
          <xdr:cNvCxnSpPr/>
        </xdr:nvCxnSpPr>
        <xdr:spPr bwMode="auto">
          <a:xfrm flipV="1">
            <a:off x="4752975" y="2743200"/>
            <a:ext cx="695325" cy="628650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DB56153F-C422-4A67-9BB1-AA4B99358FC6}"/>
              </a:ext>
            </a:extLst>
          </xdr:cNvPr>
          <xdr:cNvCxnSpPr/>
        </xdr:nvCxnSpPr>
        <xdr:spPr bwMode="auto">
          <a:xfrm>
            <a:off x="4619625" y="4114800"/>
            <a:ext cx="295275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7CE8F345-E843-4A01-AE26-9CF16188C808}"/>
              </a:ext>
            </a:extLst>
          </xdr:cNvPr>
          <xdr:cNvCxnSpPr/>
        </xdr:nvCxnSpPr>
        <xdr:spPr bwMode="auto">
          <a:xfrm rot="16200000" flipH="1">
            <a:off x="6715125" y="3286125"/>
            <a:ext cx="161925" cy="952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4A1B5BD2-AB45-4B90-8E18-B97DEC617176}"/>
              </a:ext>
            </a:extLst>
          </xdr:cNvPr>
          <xdr:cNvCxnSpPr/>
        </xdr:nvCxnSpPr>
        <xdr:spPr bwMode="auto">
          <a:xfrm rot="5400000" flipH="1" flipV="1">
            <a:off x="6719887" y="3633788"/>
            <a:ext cx="180975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F88611FD-18C6-4F78-93EE-F0BB12981205}"/>
              </a:ext>
            </a:extLst>
          </xdr:cNvPr>
          <xdr:cNvCxnSpPr/>
        </xdr:nvCxnSpPr>
        <xdr:spPr bwMode="auto">
          <a:xfrm flipH="1" flipV="1">
            <a:off x="5095875" y="4114800"/>
            <a:ext cx="266700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7982499C-6F61-4399-ADA3-1144DC285CC6}"/>
              </a:ext>
            </a:extLst>
          </xdr:cNvPr>
          <xdr:cNvCxnSpPr/>
        </xdr:nvCxnSpPr>
        <xdr:spPr bwMode="auto">
          <a:xfrm rot="5400000" flipH="1" flipV="1">
            <a:off x="7396162" y="3557588"/>
            <a:ext cx="1590675" cy="0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333375</xdr:colOff>
      <xdr:row>1</xdr:row>
      <xdr:rowOff>66675</xdr:rowOff>
    </xdr:from>
    <xdr:to>
      <xdr:col>12</xdr:col>
      <xdr:colOff>447675</xdr:colOff>
      <xdr:row>5</xdr:row>
      <xdr:rowOff>85725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EC2B494D-455E-4AC0-9AE5-449853ABB311}"/>
            </a:ext>
          </a:extLst>
        </xdr:cNvPr>
        <xdr:cNvSpPr txBox="1"/>
      </xdr:nvSpPr>
      <xdr:spPr>
        <a:xfrm>
          <a:off x="6793057" y="265834"/>
          <a:ext cx="1326573" cy="7637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Member  LOGO HERE</a:t>
          </a:r>
        </a:p>
      </xdr:txBody>
    </xdr:sp>
    <xdr:clientData/>
  </xdr:twoCellAnchor>
  <xdr:twoCellAnchor editAs="oneCell">
    <xdr:from>
      <xdr:col>1</xdr:col>
      <xdr:colOff>66675</xdr:colOff>
      <xdr:row>1</xdr:row>
      <xdr:rowOff>57150</xdr:rowOff>
    </xdr:from>
    <xdr:to>
      <xdr:col>3</xdr:col>
      <xdr:colOff>66675</xdr:colOff>
      <xdr:row>5</xdr:row>
      <xdr:rowOff>66675</xdr:rowOff>
    </xdr:to>
    <xdr:pic>
      <xdr:nvPicPr>
        <xdr:cNvPr id="29020" name="Picture 39" descr="New Image.TIF">
          <a:extLst>
            <a:ext uri="{FF2B5EF4-FFF2-40B4-BE49-F238E27FC236}">
              <a16:creationId xmlns:a16="http://schemas.microsoft.com/office/drawing/2014/main" id="{A5755A53-F1D6-4181-9F45-AD66F8E19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57175"/>
          <a:ext cx="1571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201084</xdr:colOff>
      <xdr:row>1</xdr:row>
      <xdr:rowOff>42334</xdr:rowOff>
    </xdr:from>
    <xdr:to>
      <xdr:col>12</xdr:col>
      <xdr:colOff>592668</xdr:colOff>
      <xdr:row>5</xdr:row>
      <xdr:rowOff>172131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468CBC0-82CA-449A-880C-9F29A6800A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6" t="22059" r="6183" b="27696"/>
        <a:stretch/>
      </xdr:blipFill>
      <xdr:spPr>
        <a:xfrm>
          <a:off x="6688667" y="243417"/>
          <a:ext cx="1619251" cy="8917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1</xdr:row>
      <xdr:rowOff>66675</xdr:rowOff>
    </xdr:from>
    <xdr:to>
      <xdr:col>12</xdr:col>
      <xdr:colOff>447675</xdr:colOff>
      <xdr:row>5</xdr:row>
      <xdr:rowOff>85725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3CD590F0-AA04-4080-8221-13D5B64827F1}"/>
            </a:ext>
          </a:extLst>
        </xdr:cNvPr>
        <xdr:cNvSpPr txBox="1"/>
      </xdr:nvSpPr>
      <xdr:spPr>
        <a:xfrm>
          <a:off x="6800850" y="266700"/>
          <a:ext cx="13335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Member  LOGO HERE</a:t>
          </a:r>
        </a:p>
      </xdr:txBody>
    </xdr:sp>
    <xdr:clientData/>
  </xdr:twoCellAnchor>
  <xdr:twoCellAnchor editAs="oneCell">
    <xdr:from>
      <xdr:col>1</xdr:col>
      <xdr:colOff>66675</xdr:colOff>
      <xdr:row>1</xdr:row>
      <xdr:rowOff>57150</xdr:rowOff>
    </xdr:from>
    <xdr:to>
      <xdr:col>3</xdr:col>
      <xdr:colOff>66675</xdr:colOff>
      <xdr:row>5</xdr:row>
      <xdr:rowOff>66675</xdr:rowOff>
    </xdr:to>
    <xdr:pic>
      <xdr:nvPicPr>
        <xdr:cNvPr id="26302" name="Picture 39" descr="New Image.TIF">
          <a:extLst>
            <a:ext uri="{FF2B5EF4-FFF2-40B4-BE49-F238E27FC236}">
              <a16:creationId xmlns:a16="http://schemas.microsoft.com/office/drawing/2014/main" id="{9FBE9F81-0905-4A48-A5F7-50B83C810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57175"/>
          <a:ext cx="1571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13</xdr:row>
      <xdr:rowOff>66675</xdr:rowOff>
    </xdr:from>
    <xdr:to>
      <xdr:col>12</xdr:col>
      <xdr:colOff>390525</xdr:colOff>
      <xdr:row>32</xdr:row>
      <xdr:rowOff>180975</xdr:rowOff>
    </xdr:to>
    <xdr:grpSp>
      <xdr:nvGrpSpPr>
        <xdr:cNvPr id="26303" name="Group 59">
          <a:extLst>
            <a:ext uri="{FF2B5EF4-FFF2-40B4-BE49-F238E27FC236}">
              <a16:creationId xmlns:a16="http://schemas.microsoft.com/office/drawing/2014/main" id="{7D9C4860-28D9-482B-B594-AFF725401145}"/>
            </a:ext>
          </a:extLst>
        </xdr:cNvPr>
        <xdr:cNvGrpSpPr>
          <a:grpSpLocks/>
        </xdr:cNvGrpSpPr>
      </xdr:nvGrpSpPr>
      <xdr:grpSpPr bwMode="auto">
        <a:xfrm>
          <a:off x="5949950" y="2553758"/>
          <a:ext cx="2155825" cy="3733800"/>
          <a:chOff x="5951423" y="2528661"/>
          <a:chExt cx="2153899" cy="3740885"/>
        </a:xfrm>
      </xdr:grpSpPr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FA870682-58AF-47B3-A80B-EBF230FD923F}"/>
              </a:ext>
            </a:extLst>
          </xdr:cNvPr>
          <xdr:cNvSpPr/>
        </xdr:nvSpPr>
        <xdr:spPr>
          <a:xfrm>
            <a:off x="5951423" y="4761740"/>
            <a:ext cx="1924150" cy="1402832"/>
          </a:xfrm>
          <a:prstGeom prst="rect">
            <a:avLst/>
          </a:prstGeom>
          <a:noFill/>
          <a:ln>
            <a:solidFill>
              <a:srgbClr val="0070C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endParaRPr lang="en-US"/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84E104B3-310C-41F8-BC3C-D01B13770C5A}"/>
              </a:ext>
            </a:extLst>
          </xdr:cNvPr>
          <xdr:cNvSpPr/>
        </xdr:nvSpPr>
        <xdr:spPr>
          <a:xfrm>
            <a:off x="6152454" y="5009860"/>
            <a:ext cx="1512516" cy="1164255"/>
          </a:xfrm>
          <a:prstGeom prst="rect">
            <a:avLst/>
          </a:prstGeom>
          <a:noFill/>
          <a:ln>
            <a:solidFill>
              <a:srgbClr val="0070C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endParaRPr lang="en-US"/>
          </a:p>
        </xdr:txBody>
      </xdr:sp>
      <xdr:cxnSp macro="">
        <xdr:nvCxnSpPr>
          <xdr:cNvPr id="49" name="Straight Arrow Connector 48">
            <a:extLst>
              <a:ext uri="{FF2B5EF4-FFF2-40B4-BE49-F238E27FC236}">
                <a16:creationId xmlns:a16="http://schemas.microsoft.com/office/drawing/2014/main" id="{B282093D-DB92-4D74-844F-53C7D87C6C22}"/>
              </a:ext>
            </a:extLst>
          </xdr:cNvPr>
          <xdr:cNvCxnSpPr/>
        </xdr:nvCxnSpPr>
        <xdr:spPr bwMode="auto">
          <a:xfrm rot="16200000" flipH="1">
            <a:off x="5838337" y="5591988"/>
            <a:ext cx="1145169" cy="0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Arrow Connector 49">
            <a:extLst>
              <a:ext uri="{FF2B5EF4-FFF2-40B4-BE49-F238E27FC236}">
                <a16:creationId xmlns:a16="http://schemas.microsoft.com/office/drawing/2014/main" id="{811E415B-71CB-422F-8CFE-0A3AF13A59FC}"/>
              </a:ext>
            </a:extLst>
          </xdr:cNvPr>
          <xdr:cNvCxnSpPr/>
        </xdr:nvCxnSpPr>
        <xdr:spPr bwMode="auto">
          <a:xfrm>
            <a:off x="7377783" y="5716048"/>
            <a:ext cx="287187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Arrow Connector 50">
            <a:extLst>
              <a:ext uri="{FF2B5EF4-FFF2-40B4-BE49-F238E27FC236}">
                <a16:creationId xmlns:a16="http://schemas.microsoft.com/office/drawing/2014/main" id="{5CBFB153-E330-4A56-8376-72C80CB3E56E}"/>
              </a:ext>
            </a:extLst>
          </xdr:cNvPr>
          <xdr:cNvCxnSpPr/>
        </xdr:nvCxnSpPr>
        <xdr:spPr bwMode="auto">
          <a:xfrm rot="16200000" flipH="1">
            <a:off x="7406755" y="4675838"/>
            <a:ext cx="162232" cy="957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Arrow Connector 51">
            <a:extLst>
              <a:ext uri="{FF2B5EF4-FFF2-40B4-BE49-F238E27FC236}">
                <a16:creationId xmlns:a16="http://schemas.microsoft.com/office/drawing/2014/main" id="{05C94C5D-2FC9-45C0-9F68-B16C590B3589}"/>
              </a:ext>
            </a:extLst>
          </xdr:cNvPr>
          <xdr:cNvCxnSpPr/>
        </xdr:nvCxnSpPr>
        <xdr:spPr bwMode="auto">
          <a:xfrm rot="5400000" flipH="1" flipV="1">
            <a:off x="7411571" y="5100520"/>
            <a:ext cx="181318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Arrow Connector 52">
            <a:extLst>
              <a:ext uri="{FF2B5EF4-FFF2-40B4-BE49-F238E27FC236}">
                <a16:creationId xmlns:a16="http://schemas.microsoft.com/office/drawing/2014/main" id="{F5E6E4B1-79E7-4380-9726-1909B4EADE78}"/>
              </a:ext>
            </a:extLst>
          </xdr:cNvPr>
          <xdr:cNvCxnSpPr/>
        </xdr:nvCxnSpPr>
        <xdr:spPr bwMode="auto">
          <a:xfrm flipH="1">
            <a:off x="7866000" y="5706505"/>
            <a:ext cx="239322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Arrow Connector 53">
            <a:extLst>
              <a:ext uri="{FF2B5EF4-FFF2-40B4-BE49-F238E27FC236}">
                <a16:creationId xmlns:a16="http://schemas.microsoft.com/office/drawing/2014/main" id="{0138F7E6-BF58-4A9A-91E3-CE1A84DA2652}"/>
              </a:ext>
            </a:extLst>
          </xdr:cNvPr>
          <xdr:cNvCxnSpPr/>
        </xdr:nvCxnSpPr>
        <xdr:spPr bwMode="auto">
          <a:xfrm flipV="1">
            <a:off x="6152454" y="6269546"/>
            <a:ext cx="1512516" cy="0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" name="Oval 54">
            <a:extLst>
              <a:ext uri="{FF2B5EF4-FFF2-40B4-BE49-F238E27FC236}">
                <a16:creationId xmlns:a16="http://schemas.microsoft.com/office/drawing/2014/main" id="{2CDB5615-6A25-443E-8C85-9AF5670A4218}"/>
              </a:ext>
            </a:extLst>
          </xdr:cNvPr>
          <xdr:cNvSpPr/>
        </xdr:nvSpPr>
        <xdr:spPr>
          <a:xfrm>
            <a:off x="5980142" y="2528661"/>
            <a:ext cx="1895431" cy="1746383"/>
          </a:xfrm>
          <a:prstGeom prst="ellipse">
            <a:avLst/>
          </a:prstGeom>
          <a:noFill/>
          <a:ln>
            <a:solidFill>
              <a:srgbClr val="0070C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endParaRPr lang="en-US"/>
          </a:p>
        </xdr:txBody>
      </xdr:sp>
      <xdr:sp macro="" textlink="">
        <xdr:nvSpPr>
          <xdr:cNvPr id="56" name="Oval 55">
            <a:extLst>
              <a:ext uri="{FF2B5EF4-FFF2-40B4-BE49-F238E27FC236}">
                <a16:creationId xmlns:a16="http://schemas.microsoft.com/office/drawing/2014/main" id="{FE25E8B9-9041-40B6-993B-7CD957071E73}"/>
              </a:ext>
            </a:extLst>
          </xdr:cNvPr>
          <xdr:cNvSpPr/>
        </xdr:nvSpPr>
        <xdr:spPr>
          <a:xfrm>
            <a:off x="6181172" y="2719522"/>
            <a:ext cx="1502943" cy="1383746"/>
          </a:xfrm>
          <a:prstGeom prst="ellipse">
            <a:avLst/>
          </a:prstGeom>
          <a:noFill/>
          <a:ln>
            <a:solidFill>
              <a:srgbClr val="0070C0"/>
            </a:solidFill>
            <a:prstDash val="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endParaRPr lang="en-US"/>
          </a:p>
        </xdr:txBody>
      </xdr:sp>
      <xdr:cxnSp macro="">
        <xdr:nvCxnSpPr>
          <xdr:cNvPr id="57" name="Straight Arrow Connector 56">
            <a:extLst>
              <a:ext uri="{FF2B5EF4-FFF2-40B4-BE49-F238E27FC236}">
                <a16:creationId xmlns:a16="http://schemas.microsoft.com/office/drawing/2014/main" id="{8035CE15-0A2F-4552-9A48-93F3F874358E}"/>
              </a:ext>
            </a:extLst>
          </xdr:cNvPr>
          <xdr:cNvCxnSpPr>
            <a:stCxn id="55" idx="1"/>
            <a:endCxn id="55" idx="5"/>
          </xdr:cNvCxnSpPr>
        </xdr:nvCxnSpPr>
        <xdr:spPr bwMode="auto">
          <a:xfrm rot="16200000" flipH="1">
            <a:off x="6312328" y="2731751"/>
            <a:ext cx="1231057" cy="1340204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10</xdr:col>
      <xdr:colOff>201084</xdr:colOff>
      <xdr:row>1</xdr:row>
      <xdr:rowOff>21167</xdr:rowOff>
    </xdr:from>
    <xdr:to>
      <xdr:col>12</xdr:col>
      <xdr:colOff>592668</xdr:colOff>
      <xdr:row>5</xdr:row>
      <xdr:rowOff>150964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1025EC4-95CD-41AE-B249-F0B3B2ED77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6" t="22059" r="6183" b="27696"/>
        <a:stretch/>
      </xdr:blipFill>
      <xdr:spPr>
        <a:xfrm>
          <a:off x="6688667" y="222250"/>
          <a:ext cx="1619251" cy="8917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76200</xdr:rowOff>
    </xdr:from>
    <xdr:to>
      <xdr:col>2</xdr:col>
      <xdr:colOff>381000</xdr:colOff>
      <xdr:row>2</xdr:row>
      <xdr:rowOff>209550</xdr:rowOff>
    </xdr:to>
    <xdr:pic>
      <xdr:nvPicPr>
        <xdr:cNvPr id="9532" name="Picture 39" descr="New Image.TIF">
          <a:extLst>
            <a:ext uri="{FF2B5EF4-FFF2-40B4-BE49-F238E27FC236}">
              <a16:creationId xmlns:a16="http://schemas.microsoft.com/office/drawing/2014/main" id="{B007A9A8-DF6B-46BD-A2DA-68075B4BC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1571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571501</xdr:colOff>
      <xdr:row>0</xdr:row>
      <xdr:rowOff>85725</xdr:rowOff>
    </xdr:from>
    <xdr:to>
      <xdr:col>12</xdr:col>
      <xdr:colOff>225426</xdr:colOff>
      <xdr:row>2</xdr:row>
      <xdr:rowOff>193675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9D633B5-DBD8-4974-8AC2-F89CD71E2035}"/>
            </a:ext>
          </a:extLst>
        </xdr:cNvPr>
        <xdr:cNvSpPr txBox="1"/>
      </xdr:nvSpPr>
      <xdr:spPr>
        <a:xfrm>
          <a:off x="6466418" y="85725"/>
          <a:ext cx="1220258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Member  LOGO HERE</a:t>
          </a:r>
        </a:p>
      </xdr:txBody>
    </xdr:sp>
    <xdr:clientData/>
  </xdr:twoCellAnchor>
  <xdr:twoCellAnchor editAs="oneCell">
    <xdr:from>
      <xdr:col>9</xdr:col>
      <xdr:colOff>539749</xdr:colOff>
      <xdr:row>0</xdr:row>
      <xdr:rowOff>31750</xdr:rowOff>
    </xdr:from>
    <xdr:to>
      <xdr:col>13</xdr:col>
      <xdr:colOff>232834</xdr:colOff>
      <xdr:row>2</xdr:row>
      <xdr:rowOff>288547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04CB927-311C-45EC-AD47-264C9757D7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6" t="22059" r="6183" b="27696"/>
        <a:stretch/>
      </xdr:blipFill>
      <xdr:spPr>
        <a:xfrm>
          <a:off x="6434666" y="31750"/>
          <a:ext cx="1619251" cy="8917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</xdr:row>
      <xdr:rowOff>0</xdr:rowOff>
    </xdr:from>
    <xdr:to>
      <xdr:col>13</xdr:col>
      <xdr:colOff>76200</xdr:colOff>
      <xdr:row>12</xdr:row>
      <xdr:rowOff>0</xdr:rowOff>
    </xdr:to>
    <xdr:grpSp>
      <xdr:nvGrpSpPr>
        <xdr:cNvPr id="30413" name="Group 48">
          <a:extLst>
            <a:ext uri="{FF2B5EF4-FFF2-40B4-BE49-F238E27FC236}">
              <a16:creationId xmlns:a16="http://schemas.microsoft.com/office/drawing/2014/main" id="{01BA7A9D-5263-41DE-8A19-7DD549AE400F}"/>
            </a:ext>
          </a:extLst>
        </xdr:cNvPr>
        <xdr:cNvGrpSpPr>
          <a:grpSpLocks/>
        </xdr:cNvGrpSpPr>
      </xdr:nvGrpSpPr>
      <xdr:grpSpPr bwMode="auto">
        <a:xfrm>
          <a:off x="590550" y="232833"/>
          <a:ext cx="8058150" cy="2095500"/>
          <a:chOff x="637116" y="586979"/>
          <a:chExt cx="7883636" cy="2252662"/>
        </a:xfrm>
      </xdr:grpSpPr>
      <xdr:cxnSp macro="">
        <xdr:nvCxnSpPr>
          <xdr:cNvPr id="81" name="Straight Arrow Connector 80">
            <a:extLst>
              <a:ext uri="{FF2B5EF4-FFF2-40B4-BE49-F238E27FC236}">
                <a16:creationId xmlns:a16="http://schemas.microsoft.com/office/drawing/2014/main" id="{CCFD26D5-B5A9-44D9-B4F2-06DC552B11A8}"/>
              </a:ext>
            </a:extLst>
          </xdr:cNvPr>
          <xdr:cNvCxnSpPr/>
        </xdr:nvCxnSpPr>
        <xdr:spPr>
          <a:xfrm>
            <a:off x="2799059" y="2122885"/>
            <a:ext cx="288880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Arrow Connector 81">
            <a:extLst>
              <a:ext uri="{FF2B5EF4-FFF2-40B4-BE49-F238E27FC236}">
                <a16:creationId xmlns:a16="http://schemas.microsoft.com/office/drawing/2014/main" id="{47E89852-E90A-4A7E-A27E-DECF7570F739}"/>
              </a:ext>
            </a:extLst>
          </xdr:cNvPr>
          <xdr:cNvCxnSpPr/>
        </xdr:nvCxnSpPr>
        <xdr:spPr>
          <a:xfrm rot="16200000" flipH="1">
            <a:off x="4639101" y="1498743"/>
            <a:ext cx="112633" cy="9319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Straight Arrow Connector 82">
            <a:extLst>
              <a:ext uri="{FF2B5EF4-FFF2-40B4-BE49-F238E27FC236}">
                <a16:creationId xmlns:a16="http://schemas.microsoft.com/office/drawing/2014/main" id="{2D5B4B79-45BB-48D1-A2B8-DE34FA828C6D}"/>
              </a:ext>
            </a:extLst>
          </xdr:cNvPr>
          <xdr:cNvCxnSpPr/>
        </xdr:nvCxnSpPr>
        <xdr:spPr>
          <a:xfrm rot="5400000" flipH="1" flipV="1">
            <a:off x="4628402" y="1754267"/>
            <a:ext cx="143351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Straight Connector 120">
            <a:extLst>
              <a:ext uri="{FF2B5EF4-FFF2-40B4-BE49-F238E27FC236}">
                <a16:creationId xmlns:a16="http://schemas.microsoft.com/office/drawing/2014/main" id="{1DABBFB1-22BE-4806-9C0F-A24E84874F99}"/>
              </a:ext>
            </a:extLst>
          </xdr:cNvPr>
          <xdr:cNvCxnSpPr/>
        </xdr:nvCxnSpPr>
        <xdr:spPr>
          <a:xfrm rot="16200000" flipV="1">
            <a:off x="3427668" y="1171084"/>
            <a:ext cx="112633" cy="9319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" name="Straight Connector 212">
            <a:extLst>
              <a:ext uri="{FF2B5EF4-FFF2-40B4-BE49-F238E27FC236}">
                <a16:creationId xmlns:a16="http://schemas.microsoft.com/office/drawing/2014/main" id="{CF851E97-08F2-425B-A8D8-3AA97DE629E9}"/>
              </a:ext>
            </a:extLst>
          </xdr:cNvPr>
          <xdr:cNvCxnSpPr/>
        </xdr:nvCxnSpPr>
        <xdr:spPr>
          <a:xfrm rot="16200000" flipV="1">
            <a:off x="5892930" y="1063570"/>
            <a:ext cx="102394" cy="9319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899580F5-8BF5-417F-B5DA-160A9E00F93D}"/>
              </a:ext>
            </a:extLst>
          </xdr:cNvPr>
          <xdr:cNvCxnSpPr/>
        </xdr:nvCxnSpPr>
        <xdr:spPr>
          <a:xfrm rot="16200000" flipV="1">
            <a:off x="7300156" y="1677473"/>
            <a:ext cx="1136570" cy="0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76B70782-BAC7-4D34-A82F-D3F2BD4AB6C5}"/>
              </a:ext>
            </a:extLst>
          </xdr:cNvPr>
          <xdr:cNvCxnSpPr/>
        </xdr:nvCxnSpPr>
        <xdr:spPr>
          <a:xfrm flipV="1">
            <a:off x="7383868" y="2235518"/>
            <a:ext cx="484573" cy="430054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9899D79B-567D-4975-99DC-B8F95C95F4CA}"/>
              </a:ext>
            </a:extLst>
          </xdr:cNvPr>
          <xdr:cNvSpPr/>
        </xdr:nvSpPr>
        <xdr:spPr>
          <a:xfrm>
            <a:off x="1000546" y="1662113"/>
            <a:ext cx="1807831" cy="901065"/>
          </a:xfrm>
          <a:prstGeom prst="rect">
            <a:avLst/>
          </a:prstGeom>
          <a:noFill/>
          <a:ln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9C358C7E-D5B3-4F60-B1D0-3EBB9951617C}"/>
              </a:ext>
            </a:extLst>
          </xdr:cNvPr>
          <xdr:cNvSpPr/>
        </xdr:nvSpPr>
        <xdr:spPr>
          <a:xfrm>
            <a:off x="860765" y="1539241"/>
            <a:ext cx="2133987" cy="1126331"/>
          </a:xfrm>
          <a:prstGeom prst="rec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0" name="Flowchart: Data 59">
            <a:extLst>
              <a:ext uri="{FF2B5EF4-FFF2-40B4-BE49-F238E27FC236}">
                <a16:creationId xmlns:a16="http://schemas.microsoft.com/office/drawing/2014/main" id="{5DCF8A2D-A126-4514-A476-F0B20A3DFD58}"/>
              </a:ext>
            </a:extLst>
          </xdr:cNvPr>
          <xdr:cNvSpPr/>
        </xdr:nvSpPr>
        <xdr:spPr>
          <a:xfrm>
            <a:off x="860765" y="1119426"/>
            <a:ext cx="2618560" cy="419814"/>
          </a:xfrm>
          <a:prstGeom prst="flowChartInputOutpu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US"/>
          </a:p>
        </xdr:txBody>
      </xdr: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D75E0B53-1B2E-4BF7-B1D9-F994BE7D1060}"/>
              </a:ext>
            </a:extLst>
          </xdr:cNvPr>
          <xdr:cNvCxnSpPr/>
        </xdr:nvCxnSpPr>
        <xdr:spPr>
          <a:xfrm flipV="1">
            <a:off x="3004071" y="2593896"/>
            <a:ext cx="93187" cy="71676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Arrow Connector 61">
            <a:extLst>
              <a:ext uri="{FF2B5EF4-FFF2-40B4-BE49-F238E27FC236}">
                <a16:creationId xmlns:a16="http://schemas.microsoft.com/office/drawing/2014/main" id="{2CC01AA3-C926-4581-8315-ED1E38134BA3}"/>
              </a:ext>
            </a:extLst>
          </xdr:cNvPr>
          <xdr:cNvCxnSpPr/>
        </xdr:nvCxnSpPr>
        <xdr:spPr>
          <a:xfrm flipV="1">
            <a:off x="5492168" y="2430066"/>
            <a:ext cx="1761238" cy="0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Arrow Connector 62">
            <a:extLst>
              <a:ext uri="{FF2B5EF4-FFF2-40B4-BE49-F238E27FC236}">
                <a16:creationId xmlns:a16="http://schemas.microsoft.com/office/drawing/2014/main" id="{DEC03D8A-DFAE-49B4-B028-40D5FFAFDD2B}"/>
              </a:ext>
            </a:extLst>
          </xdr:cNvPr>
          <xdr:cNvCxnSpPr/>
        </xdr:nvCxnSpPr>
        <xdr:spPr>
          <a:xfrm rot="16200000" flipH="1">
            <a:off x="1151992" y="2138704"/>
            <a:ext cx="880586" cy="9319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Arrow Connector 63">
            <a:extLst>
              <a:ext uri="{FF2B5EF4-FFF2-40B4-BE49-F238E27FC236}">
                <a16:creationId xmlns:a16="http://schemas.microsoft.com/office/drawing/2014/main" id="{5DBE093F-3F27-479D-885C-D726C110DD7A}"/>
              </a:ext>
            </a:extLst>
          </xdr:cNvPr>
          <xdr:cNvCxnSpPr/>
        </xdr:nvCxnSpPr>
        <xdr:spPr>
          <a:xfrm flipV="1">
            <a:off x="786215" y="1047751"/>
            <a:ext cx="531167" cy="450532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Arrow Connector 64">
            <a:extLst>
              <a:ext uri="{FF2B5EF4-FFF2-40B4-BE49-F238E27FC236}">
                <a16:creationId xmlns:a16="http://schemas.microsoft.com/office/drawing/2014/main" id="{8442E194-AB02-4C0C-8946-8FB0597847B7}"/>
              </a:ext>
            </a:extLst>
          </xdr:cNvPr>
          <xdr:cNvCxnSpPr/>
        </xdr:nvCxnSpPr>
        <xdr:spPr>
          <a:xfrm>
            <a:off x="637116" y="2081927"/>
            <a:ext cx="223649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Straight Arrow Connector 67">
            <a:extLst>
              <a:ext uri="{FF2B5EF4-FFF2-40B4-BE49-F238E27FC236}">
                <a16:creationId xmlns:a16="http://schemas.microsoft.com/office/drawing/2014/main" id="{07FE5501-1D52-42E5-B890-B1AC81BEFB7B}"/>
              </a:ext>
            </a:extLst>
          </xdr:cNvPr>
          <xdr:cNvCxnSpPr/>
        </xdr:nvCxnSpPr>
        <xdr:spPr>
          <a:xfrm rot="10800000">
            <a:off x="1000546" y="2081927"/>
            <a:ext cx="177056" cy="10239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Arrow Connector 83">
            <a:extLst>
              <a:ext uri="{FF2B5EF4-FFF2-40B4-BE49-F238E27FC236}">
                <a16:creationId xmlns:a16="http://schemas.microsoft.com/office/drawing/2014/main" id="{0094E2EE-21F6-476A-9AAF-F5708B939782}"/>
              </a:ext>
            </a:extLst>
          </xdr:cNvPr>
          <xdr:cNvCxnSpPr/>
        </xdr:nvCxnSpPr>
        <xdr:spPr>
          <a:xfrm rot="10800000" flipV="1">
            <a:off x="3246357" y="2122885"/>
            <a:ext cx="177056" cy="10239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Arrow Connector 84">
            <a:extLst>
              <a:ext uri="{FF2B5EF4-FFF2-40B4-BE49-F238E27FC236}">
                <a16:creationId xmlns:a16="http://schemas.microsoft.com/office/drawing/2014/main" id="{EC125E4B-C1E2-4DAE-8847-A95093F71827}"/>
              </a:ext>
            </a:extLst>
          </xdr:cNvPr>
          <xdr:cNvCxnSpPr/>
        </xdr:nvCxnSpPr>
        <xdr:spPr>
          <a:xfrm rot="5400000">
            <a:off x="4722510" y="2511981"/>
            <a:ext cx="122872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Arrow Connector 85">
            <a:extLst>
              <a:ext uri="{FF2B5EF4-FFF2-40B4-BE49-F238E27FC236}">
                <a16:creationId xmlns:a16="http://schemas.microsoft.com/office/drawing/2014/main" id="{94991297-8EC6-4C28-B157-F035A0E38EA0}"/>
              </a:ext>
            </a:extLst>
          </xdr:cNvPr>
          <xdr:cNvCxnSpPr/>
        </xdr:nvCxnSpPr>
        <xdr:spPr>
          <a:xfrm rot="16200000" flipV="1">
            <a:off x="4710889" y="2747947"/>
            <a:ext cx="174069" cy="9319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Arrow Connector 95">
            <a:extLst>
              <a:ext uri="{FF2B5EF4-FFF2-40B4-BE49-F238E27FC236}">
                <a16:creationId xmlns:a16="http://schemas.microsoft.com/office/drawing/2014/main" id="{CCF533AE-91CD-4B06-9E19-38F7C54096E2}"/>
              </a:ext>
            </a:extLst>
          </xdr:cNvPr>
          <xdr:cNvCxnSpPr/>
        </xdr:nvCxnSpPr>
        <xdr:spPr>
          <a:xfrm>
            <a:off x="3684337" y="791766"/>
            <a:ext cx="232968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Arrow Connector 96">
            <a:extLst>
              <a:ext uri="{FF2B5EF4-FFF2-40B4-BE49-F238E27FC236}">
                <a16:creationId xmlns:a16="http://schemas.microsoft.com/office/drawing/2014/main" id="{F16C4F49-C79A-4A20-B92D-16255647440B}"/>
              </a:ext>
            </a:extLst>
          </xdr:cNvPr>
          <xdr:cNvCxnSpPr/>
        </xdr:nvCxnSpPr>
        <xdr:spPr>
          <a:xfrm rot="10800000" flipV="1">
            <a:off x="6610415" y="832724"/>
            <a:ext cx="279562" cy="266224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Arrow Connector 98">
            <a:extLst>
              <a:ext uri="{FF2B5EF4-FFF2-40B4-BE49-F238E27FC236}">
                <a16:creationId xmlns:a16="http://schemas.microsoft.com/office/drawing/2014/main" id="{66C80BF5-E717-4CFD-A785-6F8EA38C4651}"/>
              </a:ext>
            </a:extLst>
          </xdr:cNvPr>
          <xdr:cNvCxnSpPr/>
        </xdr:nvCxnSpPr>
        <xdr:spPr>
          <a:xfrm rot="10800000">
            <a:off x="4057086" y="791766"/>
            <a:ext cx="167737" cy="10239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Arrow Connector 99">
            <a:extLst>
              <a:ext uri="{FF2B5EF4-FFF2-40B4-BE49-F238E27FC236}">
                <a16:creationId xmlns:a16="http://schemas.microsoft.com/office/drawing/2014/main" id="{AEF6CBEA-B6EF-46FC-BEA3-C3D45411E356}"/>
              </a:ext>
            </a:extLst>
          </xdr:cNvPr>
          <xdr:cNvCxnSpPr/>
        </xdr:nvCxnSpPr>
        <xdr:spPr>
          <a:xfrm rot="5400000">
            <a:off x="2660771" y="849868"/>
            <a:ext cx="174069" cy="139781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Arrow Connector 100">
            <a:extLst>
              <a:ext uri="{FF2B5EF4-FFF2-40B4-BE49-F238E27FC236}">
                <a16:creationId xmlns:a16="http://schemas.microsoft.com/office/drawing/2014/main" id="{46A2FCDB-1289-4403-8DF5-B280A485998B}"/>
              </a:ext>
            </a:extLst>
          </xdr:cNvPr>
          <xdr:cNvCxnSpPr/>
        </xdr:nvCxnSpPr>
        <xdr:spPr>
          <a:xfrm rot="5400000" flipH="1" flipV="1">
            <a:off x="2441781" y="1151470"/>
            <a:ext cx="174069" cy="130462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1" name="Flowchart: Data 90">
            <a:extLst>
              <a:ext uri="{FF2B5EF4-FFF2-40B4-BE49-F238E27FC236}">
                <a16:creationId xmlns:a16="http://schemas.microsoft.com/office/drawing/2014/main" id="{4D5C4B32-5A44-476A-8682-22CA427F9EEB}"/>
              </a:ext>
            </a:extLst>
          </xdr:cNvPr>
          <xdr:cNvSpPr/>
        </xdr:nvSpPr>
        <xdr:spPr>
          <a:xfrm>
            <a:off x="1503757" y="597218"/>
            <a:ext cx="2637197" cy="430054"/>
          </a:xfrm>
          <a:prstGeom prst="flowChartInputOutpu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US"/>
          </a:p>
        </xdr:txBody>
      </xdr:sp>
      <xdr:cxnSp macro="">
        <xdr:nvCxnSpPr>
          <xdr:cNvPr id="102" name="Straight Connector 101">
            <a:extLst>
              <a:ext uri="{FF2B5EF4-FFF2-40B4-BE49-F238E27FC236}">
                <a16:creationId xmlns:a16="http://schemas.microsoft.com/office/drawing/2014/main" id="{F32125A2-89F6-4827-840E-4C54CF439A60}"/>
              </a:ext>
            </a:extLst>
          </xdr:cNvPr>
          <xdr:cNvCxnSpPr/>
        </xdr:nvCxnSpPr>
        <xdr:spPr>
          <a:xfrm rot="5400000" flipH="1" flipV="1">
            <a:off x="4089757" y="648415"/>
            <a:ext cx="102394" cy="0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Straight Connector 138">
            <a:extLst>
              <a:ext uri="{FF2B5EF4-FFF2-40B4-BE49-F238E27FC236}">
                <a16:creationId xmlns:a16="http://schemas.microsoft.com/office/drawing/2014/main" id="{CADD5576-58F5-415E-8F7D-ADD96DAFD5E5}"/>
              </a:ext>
            </a:extLst>
          </xdr:cNvPr>
          <xdr:cNvCxnSpPr/>
        </xdr:nvCxnSpPr>
        <xdr:spPr>
          <a:xfrm rot="16200000" flipV="1">
            <a:off x="3582347" y="1073350"/>
            <a:ext cx="92154" cy="0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>
            <a:extLst>
              <a:ext uri="{FF2B5EF4-FFF2-40B4-BE49-F238E27FC236}">
                <a16:creationId xmlns:a16="http://schemas.microsoft.com/office/drawing/2014/main" id="{703E6A58-5BC2-4E0B-92FA-2CC6E2E602DF}"/>
              </a:ext>
            </a:extLst>
          </xdr:cNvPr>
          <xdr:cNvCxnSpPr/>
        </xdr:nvCxnSpPr>
        <xdr:spPr>
          <a:xfrm rot="16200000" flipV="1">
            <a:off x="1457220" y="1073809"/>
            <a:ext cx="102394" cy="9319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D73F4B58-86A5-45C5-805F-6759B3FEB0C6}"/>
              </a:ext>
            </a:extLst>
          </xdr:cNvPr>
          <xdr:cNvSpPr/>
        </xdr:nvSpPr>
        <xdr:spPr>
          <a:xfrm>
            <a:off x="3237039" y="1662113"/>
            <a:ext cx="1826469" cy="901065"/>
          </a:xfrm>
          <a:prstGeom prst="rect">
            <a:avLst/>
          </a:prstGeom>
          <a:noFill/>
          <a:ln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D8D139A2-6D05-40FB-8E3A-47943C965F0B}"/>
              </a:ext>
            </a:extLst>
          </xdr:cNvPr>
          <xdr:cNvSpPr/>
        </xdr:nvSpPr>
        <xdr:spPr>
          <a:xfrm>
            <a:off x="3106576" y="1539241"/>
            <a:ext cx="2078074" cy="1126331"/>
          </a:xfrm>
          <a:prstGeom prst="rec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97" name="Flowchart: Data 196">
            <a:extLst>
              <a:ext uri="{FF2B5EF4-FFF2-40B4-BE49-F238E27FC236}">
                <a16:creationId xmlns:a16="http://schemas.microsoft.com/office/drawing/2014/main" id="{09AD9D5D-9AF3-4121-8D4E-FBF4AD91130C}"/>
              </a:ext>
            </a:extLst>
          </xdr:cNvPr>
          <xdr:cNvSpPr/>
        </xdr:nvSpPr>
        <xdr:spPr>
          <a:xfrm>
            <a:off x="3106576" y="1119426"/>
            <a:ext cx="2562648" cy="419814"/>
          </a:xfrm>
          <a:prstGeom prst="flowChartInputOutpu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US"/>
          </a:p>
        </xdr:txBody>
      </xdr:sp>
      <xdr:cxnSp macro="">
        <xdr:nvCxnSpPr>
          <xdr:cNvPr id="198" name="Straight Connector 197">
            <a:extLst>
              <a:ext uri="{FF2B5EF4-FFF2-40B4-BE49-F238E27FC236}">
                <a16:creationId xmlns:a16="http://schemas.microsoft.com/office/drawing/2014/main" id="{7725575D-1A0F-4CF4-8942-989059FB4F2B}"/>
              </a:ext>
            </a:extLst>
          </xdr:cNvPr>
          <xdr:cNvCxnSpPr/>
        </xdr:nvCxnSpPr>
        <xdr:spPr>
          <a:xfrm flipV="1">
            <a:off x="5184651" y="2573417"/>
            <a:ext cx="121143" cy="92154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9" name="Flowchart: Data 198">
            <a:extLst>
              <a:ext uri="{FF2B5EF4-FFF2-40B4-BE49-F238E27FC236}">
                <a16:creationId xmlns:a16="http://schemas.microsoft.com/office/drawing/2014/main" id="{A5E7F739-E190-4F97-B420-9AFDEB7E44BA}"/>
              </a:ext>
            </a:extLst>
          </xdr:cNvPr>
          <xdr:cNvSpPr/>
        </xdr:nvSpPr>
        <xdr:spPr>
          <a:xfrm>
            <a:off x="3749568" y="597218"/>
            <a:ext cx="2571966" cy="430054"/>
          </a:xfrm>
          <a:prstGeom prst="flowChartInputOutpu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US"/>
          </a:p>
        </xdr:txBody>
      </xdr:sp>
      <xdr:cxnSp macro="">
        <xdr:nvCxnSpPr>
          <xdr:cNvPr id="200" name="Straight Connector 199">
            <a:extLst>
              <a:ext uri="{FF2B5EF4-FFF2-40B4-BE49-F238E27FC236}">
                <a16:creationId xmlns:a16="http://schemas.microsoft.com/office/drawing/2014/main" id="{5F1548A5-2209-4859-94C2-5B55C0454B1D}"/>
              </a:ext>
            </a:extLst>
          </xdr:cNvPr>
          <xdr:cNvCxnSpPr/>
        </xdr:nvCxnSpPr>
        <xdr:spPr>
          <a:xfrm rot="16200000" flipV="1">
            <a:off x="6265217" y="643296"/>
            <a:ext cx="112633" cy="0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" name="Straight Connector 200">
            <a:extLst>
              <a:ext uri="{FF2B5EF4-FFF2-40B4-BE49-F238E27FC236}">
                <a16:creationId xmlns:a16="http://schemas.microsoft.com/office/drawing/2014/main" id="{43789277-7447-4FA4-89B8-D9E98384FC3C}"/>
              </a:ext>
            </a:extLst>
          </xdr:cNvPr>
          <xdr:cNvCxnSpPr/>
        </xdr:nvCxnSpPr>
        <xdr:spPr>
          <a:xfrm rot="16200000" flipV="1">
            <a:off x="5607788" y="1170623"/>
            <a:ext cx="122872" cy="0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" name="Straight Connector 201">
            <a:extLst>
              <a:ext uri="{FF2B5EF4-FFF2-40B4-BE49-F238E27FC236}">
                <a16:creationId xmlns:a16="http://schemas.microsoft.com/office/drawing/2014/main" id="{18AF0E8F-A740-4EE3-B07E-859020A458A6}"/>
              </a:ext>
            </a:extLst>
          </xdr:cNvPr>
          <xdr:cNvCxnSpPr/>
        </xdr:nvCxnSpPr>
        <xdr:spPr>
          <a:xfrm rot="16200000" flipV="1">
            <a:off x="5772246" y="1073350"/>
            <a:ext cx="92154" cy="0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" name="Straight Connector 202">
            <a:extLst>
              <a:ext uri="{FF2B5EF4-FFF2-40B4-BE49-F238E27FC236}">
                <a16:creationId xmlns:a16="http://schemas.microsoft.com/office/drawing/2014/main" id="{B239AF4F-11A9-4DD6-B8E5-F7E621B8B6A2}"/>
              </a:ext>
            </a:extLst>
          </xdr:cNvPr>
          <xdr:cNvCxnSpPr/>
        </xdr:nvCxnSpPr>
        <xdr:spPr>
          <a:xfrm rot="16200000" flipV="1">
            <a:off x="3703490" y="1073350"/>
            <a:ext cx="92154" cy="0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9D4E3C12-36D4-492F-96DC-A3E1DFF9C290}"/>
              </a:ext>
            </a:extLst>
          </xdr:cNvPr>
          <xdr:cNvSpPr/>
        </xdr:nvSpPr>
        <xdr:spPr>
          <a:xfrm>
            <a:off x="5436256" y="1662113"/>
            <a:ext cx="1817150" cy="901065"/>
          </a:xfrm>
          <a:prstGeom prst="rect">
            <a:avLst/>
          </a:prstGeom>
          <a:noFill/>
          <a:ln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5506665C-1E17-494A-AA4A-CD006DEBE6EB}"/>
              </a:ext>
            </a:extLst>
          </xdr:cNvPr>
          <xdr:cNvSpPr/>
        </xdr:nvSpPr>
        <xdr:spPr>
          <a:xfrm>
            <a:off x="5296475" y="1539241"/>
            <a:ext cx="2087393" cy="1126331"/>
          </a:xfrm>
          <a:prstGeom prst="rec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07" name="Flowchart: Data 206">
            <a:extLst>
              <a:ext uri="{FF2B5EF4-FFF2-40B4-BE49-F238E27FC236}">
                <a16:creationId xmlns:a16="http://schemas.microsoft.com/office/drawing/2014/main" id="{1167124B-5EA0-4116-87BF-0324A6A8023D}"/>
              </a:ext>
            </a:extLst>
          </xdr:cNvPr>
          <xdr:cNvSpPr/>
        </xdr:nvSpPr>
        <xdr:spPr>
          <a:xfrm>
            <a:off x="5305794" y="1109187"/>
            <a:ext cx="2562648" cy="419814"/>
          </a:xfrm>
          <a:prstGeom prst="flowChartInputOutpu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09" name="Flowchart: Data 208">
            <a:extLst>
              <a:ext uri="{FF2B5EF4-FFF2-40B4-BE49-F238E27FC236}">
                <a16:creationId xmlns:a16="http://schemas.microsoft.com/office/drawing/2014/main" id="{631D17DB-85C0-4356-A3DE-EE01A05F653B}"/>
              </a:ext>
            </a:extLst>
          </xdr:cNvPr>
          <xdr:cNvSpPr/>
        </xdr:nvSpPr>
        <xdr:spPr>
          <a:xfrm>
            <a:off x="5939467" y="597218"/>
            <a:ext cx="2581285" cy="430054"/>
          </a:xfrm>
          <a:prstGeom prst="flowChartInputOutpu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en-US"/>
          </a:p>
        </xdr:txBody>
      </xdr:sp>
      <xdr:cxnSp macro="">
        <xdr:nvCxnSpPr>
          <xdr:cNvPr id="234" name="Straight Connector 233">
            <a:extLst>
              <a:ext uri="{FF2B5EF4-FFF2-40B4-BE49-F238E27FC236}">
                <a16:creationId xmlns:a16="http://schemas.microsoft.com/office/drawing/2014/main" id="{9D80AE48-E3AC-45E5-A2EF-E1D5DCAF070B}"/>
              </a:ext>
            </a:extLst>
          </xdr:cNvPr>
          <xdr:cNvCxnSpPr/>
        </xdr:nvCxnSpPr>
        <xdr:spPr>
          <a:xfrm rot="16200000" flipV="1">
            <a:off x="7952466" y="1155265"/>
            <a:ext cx="1136570" cy="0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Straight Connector 234">
            <a:extLst>
              <a:ext uri="{FF2B5EF4-FFF2-40B4-BE49-F238E27FC236}">
                <a16:creationId xmlns:a16="http://schemas.microsoft.com/office/drawing/2014/main" id="{DBF52E44-159B-46E9-9BDA-B7EA23C9D87F}"/>
              </a:ext>
            </a:extLst>
          </xdr:cNvPr>
          <xdr:cNvCxnSpPr/>
        </xdr:nvCxnSpPr>
        <xdr:spPr>
          <a:xfrm flipV="1">
            <a:off x="8008222" y="1713310"/>
            <a:ext cx="512530" cy="440293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Straight Connector 235">
            <a:extLst>
              <a:ext uri="{FF2B5EF4-FFF2-40B4-BE49-F238E27FC236}">
                <a16:creationId xmlns:a16="http://schemas.microsoft.com/office/drawing/2014/main" id="{CA84BEDE-16C7-44F4-A57D-E9EF15159CB4}"/>
              </a:ext>
            </a:extLst>
          </xdr:cNvPr>
          <xdr:cNvCxnSpPr/>
        </xdr:nvCxnSpPr>
        <xdr:spPr>
          <a:xfrm rot="16200000" flipV="1">
            <a:off x="7434818" y="1580198"/>
            <a:ext cx="1146810" cy="0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Straight Connector 236">
            <a:extLst>
              <a:ext uri="{FF2B5EF4-FFF2-40B4-BE49-F238E27FC236}">
                <a16:creationId xmlns:a16="http://schemas.microsoft.com/office/drawing/2014/main" id="{076106E9-CA76-4FB8-AA57-E54BCADE1354}"/>
              </a:ext>
            </a:extLst>
          </xdr:cNvPr>
          <xdr:cNvCxnSpPr/>
        </xdr:nvCxnSpPr>
        <xdr:spPr>
          <a:xfrm>
            <a:off x="7877760" y="2143364"/>
            <a:ext cx="139781" cy="0"/>
          </a:xfrm>
          <a:prstGeom prst="line">
            <a:avLst/>
          </a:prstGeom>
          <a:ln w="254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236007</xdr:colOff>
      <xdr:row>11</xdr:row>
      <xdr:rowOff>123825</xdr:rowOff>
    </xdr:from>
    <xdr:to>
      <xdr:col>12</xdr:col>
      <xdr:colOff>59266</xdr:colOff>
      <xdr:row>12</xdr:row>
      <xdr:rowOff>123826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66BA0A0E-111D-49F1-8178-EA6752D88C29}"/>
            </a:ext>
          </a:extLst>
        </xdr:cNvPr>
        <xdr:cNvSpPr txBox="1"/>
      </xdr:nvSpPr>
      <xdr:spPr>
        <a:xfrm>
          <a:off x="4846107" y="2257425"/>
          <a:ext cx="3337984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END VIEW OF UNDERGROUND STORMWATER POND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R86"/>
  <sheetViews>
    <sheetView showGridLines="0" showRowColHeaders="0" tabSelected="1" zoomScale="90" zoomScaleNormal="90" workbookViewId="0">
      <selection activeCell="C8" sqref="C8"/>
    </sheetView>
  </sheetViews>
  <sheetFormatPr defaultRowHeight="15" x14ac:dyDescent="0.25"/>
  <cols>
    <col min="1" max="1" width="2.140625" customWidth="1"/>
    <col min="2" max="2" width="11.140625" customWidth="1"/>
    <col min="3" max="3" width="12.42578125" customWidth="1"/>
    <col min="4" max="4" width="10.5703125" customWidth="1"/>
    <col min="5" max="5" width="11.42578125" customWidth="1"/>
    <col min="6" max="6" width="10.28515625" customWidth="1"/>
    <col min="7" max="7" width="9.140625" customWidth="1"/>
    <col min="8" max="8" width="11.5703125" bestFit="1" customWidth="1"/>
    <col min="10" max="10" width="9.140625" customWidth="1"/>
    <col min="13" max="13" width="9.140625" customWidth="1"/>
    <col min="14" max="14" width="12.42578125" customWidth="1"/>
    <col min="15" max="15" width="58.5703125" style="2" hidden="1" customWidth="1"/>
    <col min="16" max="16" width="17.140625" style="1" hidden="1" customWidth="1"/>
    <col min="17" max="17" width="64.140625" hidden="1" customWidth="1"/>
  </cols>
  <sheetData>
    <row r="1" spans="2:17" ht="15" customHeight="1" thickBot="1" x14ac:dyDescent="0.3">
      <c r="G1" s="14"/>
      <c r="H1" s="14"/>
    </row>
    <row r="2" spans="2:17" x14ac:dyDescent="0.25">
      <c r="B2" s="8"/>
      <c r="C2" s="9"/>
      <c r="D2" s="9"/>
      <c r="E2" s="9"/>
      <c r="F2" s="9"/>
      <c r="G2" s="7"/>
      <c r="I2" s="9"/>
      <c r="J2" s="9"/>
      <c r="K2" s="9"/>
      <c r="L2" s="9"/>
      <c r="M2" s="10"/>
    </row>
    <row r="3" spans="2:17" ht="14.25" customHeight="1" x14ac:dyDescent="0.3">
      <c r="B3" s="11"/>
      <c r="C3" s="7"/>
      <c r="D3" s="7"/>
      <c r="E3" s="7"/>
      <c r="F3" s="7"/>
      <c r="G3" s="217" t="s">
        <v>30</v>
      </c>
      <c r="I3" s="7"/>
      <c r="J3" s="7"/>
      <c r="K3" s="7"/>
      <c r="L3" s="7"/>
      <c r="M3" s="12"/>
      <c r="P3" s="1">
        <f>(C19+F21/6)*(C20+F20/6)*C21</f>
        <v>87.111111111111128</v>
      </c>
      <c r="Q3" s="133" t="s">
        <v>180</v>
      </c>
    </row>
    <row r="4" spans="2:17" x14ac:dyDescent="0.25">
      <c r="B4" s="11"/>
      <c r="C4" s="7"/>
      <c r="D4" s="7"/>
      <c r="E4" s="7"/>
      <c r="F4" s="7"/>
      <c r="G4" s="16" t="s">
        <v>31</v>
      </c>
      <c r="H4" s="7"/>
      <c r="I4" s="7"/>
      <c r="J4" s="7"/>
      <c r="K4" s="7"/>
      <c r="L4" s="7"/>
      <c r="M4" s="12"/>
      <c r="P4" s="1">
        <f>(C19+F22/12+F21/12)*(C20+F20/6)*C21</f>
        <v>87.1111111111111</v>
      </c>
      <c r="Q4" s="133" t="s">
        <v>181</v>
      </c>
    </row>
    <row r="5" spans="2:17" ht="15" customHeight="1" x14ac:dyDescent="0.25"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12"/>
      <c r="P5" s="1">
        <f>(C19+F21/6)*(C20+F20/12+F22/12)*C21</f>
        <v>87.1111111111111</v>
      </c>
      <c r="Q5" s="133" t="s">
        <v>182</v>
      </c>
    </row>
    <row r="6" spans="2:17" x14ac:dyDescent="0.25">
      <c r="B6" s="11"/>
      <c r="C6" s="7"/>
      <c r="D6" s="7"/>
      <c r="E6" s="7"/>
      <c r="F6" s="7"/>
      <c r="G6" s="7"/>
      <c r="H6" s="7"/>
      <c r="I6" s="7"/>
      <c r="J6" s="76" t="s">
        <v>270</v>
      </c>
      <c r="K6" s="7"/>
      <c r="L6" s="7"/>
      <c r="M6" s="12"/>
      <c r="P6" s="1">
        <f>(C19+F21/12+F22/12)*(C20+F20/12+F22/12)*C21</f>
        <v>87.111111111111086</v>
      </c>
      <c r="Q6" s="133" t="s">
        <v>183</v>
      </c>
    </row>
    <row r="7" spans="2:17" x14ac:dyDescent="0.25">
      <c r="B7" s="20" t="s">
        <v>32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P7" s="1">
        <f>(C19+F21/12+F22/12)*(C20+F22/12+F22/12)*C21</f>
        <v>87.111111111111086</v>
      </c>
      <c r="Q7" s="133" t="s">
        <v>184</v>
      </c>
    </row>
    <row r="8" spans="2:17" x14ac:dyDescent="0.25">
      <c r="B8" s="21" t="s">
        <v>18</v>
      </c>
      <c r="C8" s="220"/>
      <c r="D8" s="7"/>
      <c r="E8" s="19" t="s">
        <v>24</v>
      </c>
      <c r="F8" s="237"/>
      <c r="G8" s="237"/>
      <c r="H8" s="237"/>
      <c r="I8" s="237"/>
      <c r="J8" s="7"/>
      <c r="K8" s="19" t="s">
        <v>19</v>
      </c>
      <c r="L8" s="237"/>
      <c r="M8" s="239"/>
      <c r="P8" s="1">
        <f>(C19+F21/12+F21/12)*(C20+F22/12+F22/12)*C21</f>
        <v>87.111111111111086</v>
      </c>
      <c r="Q8" s="133" t="s">
        <v>185</v>
      </c>
    </row>
    <row r="9" spans="2:17" ht="15" customHeight="1" x14ac:dyDescent="0.25">
      <c r="B9" s="21"/>
      <c r="C9" s="7"/>
      <c r="D9" s="7"/>
      <c r="E9" s="7"/>
      <c r="F9" s="7"/>
      <c r="G9" s="7"/>
      <c r="H9" s="7"/>
      <c r="I9" s="7"/>
      <c r="J9" s="7"/>
      <c r="K9" s="7"/>
      <c r="L9" s="7"/>
      <c r="M9" s="12"/>
    </row>
    <row r="10" spans="2:17" x14ac:dyDescent="0.25">
      <c r="B10" s="21" t="s">
        <v>52</v>
      </c>
      <c r="C10" s="238"/>
      <c r="D10" s="238"/>
      <c r="E10" s="19" t="s">
        <v>54</v>
      </c>
      <c r="F10" s="238"/>
      <c r="G10" s="238"/>
      <c r="H10" s="238"/>
      <c r="I10" s="238"/>
      <c r="J10" s="7"/>
      <c r="K10" s="19" t="s">
        <v>17</v>
      </c>
      <c r="L10" s="238"/>
      <c r="M10" s="240"/>
    </row>
    <row r="11" spans="2:17" ht="15" customHeight="1" x14ac:dyDescent="0.25">
      <c r="B11" s="11"/>
      <c r="C11" s="7"/>
      <c r="D11" s="7"/>
      <c r="E11" s="7"/>
      <c r="F11" s="7"/>
      <c r="G11" s="7"/>
      <c r="H11" s="7"/>
      <c r="I11" s="7"/>
      <c r="J11" s="7"/>
      <c r="K11" s="7"/>
      <c r="L11" s="7"/>
      <c r="M11" s="12"/>
      <c r="O11" s="2" t="s">
        <v>115</v>
      </c>
      <c r="P11" s="1">
        <f>E13</f>
        <v>0</v>
      </c>
      <c r="Q11" s="133" t="s">
        <v>152</v>
      </c>
    </row>
    <row r="12" spans="2:17" x14ac:dyDescent="0.25">
      <c r="B12" s="20" t="s">
        <v>33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8"/>
      <c r="O12" s="2" t="s">
        <v>247</v>
      </c>
      <c r="P12" s="1">
        <f>IF(G22&gt;0,(C21+L16)*L15*I32*2,0)</f>
        <v>0</v>
      </c>
      <c r="Q12" s="133" t="s">
        <v>249</v>
      </c>
    </row>
    <row r="13" spans="2:17" x14ac:dyDescent="0.25">
      <c r="B13" s="22"/>
      <c r="D13" s="21" t="s">
        <v>147</v>
      </c>
      <c r="E13" s="116"/>
      <c r="F13" s="236" t="str">
        <f>"cuft  ("&amp;E13*7.48&amp;" gallons)"</f>
        <v>cuft  (0 gallons)</v>
      </c>
      <c r="G13" s="236"/>
      <c r="H13" s="236"/>
      <c r="M13" s="43" t="s">
        <v>51</v>
      </c>
      <c r="O13" s="2" t="s">
        <v>248</v>
      </c>
      <c r="P13" s="1">
        <f>TotalRows*C20*C21*F22/12*G22*2</f>
        <v>4.2666666666666666</v>
      </c>
      <c r="Q13" s="133" t="s">
        <v>174</v>
      </c>
    </row>
    <row r="14" spans="2:17" x14ac:dyDescent="0.25">
      <c r="B14" s="11"/>
      <c r="D14" s="19" t="s">
        <v>35</v>
      </c>
      <c r="E14" s="113"/>
      <c r="F14" s="19"/>
      <c r="H14" s="134"/>
      <c r="K14" s="19" t="s">
        <v>142</v>
      </c>
      <c r="L14" s="113">
        <v>0</v>
      </c>
      <c r="M14" s="137">
        <f>VLOOKUP(Model,STDProdRange,'Standard Product'!P14,FALSE)</f>
        <v>1</v>
      </c>
      <c r="N14" s="133"/>
      <c r="O14" s="2" t="s">
        <v>250</v>
      </c>
      <c r="P14" s="1">
        <f>(P12+P13)*L19</f>
        <v>0</v>
      </c>
      <c r="Q14" s="133" t="s">
        <v>256</v>
      </c>
    </row>
    <row r="15" spans="2:17" x14ac:dyDescent="0.25">
      <c r="B15" s="11"/>
      <c r="D15" s="2" t="s">
        <v>63</v>
      </c>
      <c r="E15" s="116"/>
      <c r="F15" s="37" t="s">
        <v>81</v>
      </c>
      <c r="K15" s="19" t="s">
        <v>143</v>
      </c>
      <c r="L15" s="113">
        <v>0</v>
      </c>
      <c r="M15" s="137">
        <f>VLOOKUP(Model,STDProdRange,'Standard Product'!R14,FALSE)</f>
        <v>1</v>
      </c>
      <c r="O15" s="146" t="s">
        <v>111</v>
      </c>
      <c r="P15" s="148">
        <f>P11-P14</f>
        <v>0</v>
      </c>
      <c r="Q15" s="133" t="s">
        <v>168</v>
      </c>
    </row>
    <row r="16" spans="2:17" x14ac:dyDescent="0.25">
      <c r="B16" s="11"/>
      <c r="D16" s="2" t="s">
        <v>64</v>
      </c>
      <c r="E16" s="116"/>
      <c r="K16" s="19" t="s">
        <v>144</v>
      </c>
      <c r="L16" s="114">
        <v>0</v>
      </c>
      <c r="M16" s="137">
        <f>VLOOKUP(Model,STDProdRange,'Standard Product'!Q14,FALSE)</f>
        <v>0</v>
      </c>
    </row>
    <row r="17" spans="2:17" x14ac:dyDescent="0.25">
      <c r="B17" s="11"/>
      <c r="D17" s="19" t="s">
        <v>34</v>
      </c>
      <c r="E17" s="227" t="s">
        <v>116</v>
      </c>
      <c r="G17" s="196" t="str">
        <f>IF(ModelType=2,"Linear Foot Cost:","Chamber Cost (ea):")</f>
        <v>Chamber Cost (ea):</v>
      </c>
      <c r="H17" s="216"/>
      <c r="K17" s="25" t="s">
        <v>145</v>
      </c>
      <c r="L17" s="169">
        <v>0</v>
      </c>
      <c r="M17" s="170">
        <f>VLOOKUP(Model,STDProdRange,'Standard Product'!S14,FALSE)</f>
        <v>6</v>
      </c>
    </row>
    <row r="18" spans="2:17" x14ac:dyDescent="0.25">
      <c r="B18" s="36" t="s">
        <v>38</v>
      </c>
      <c r="G18" s="131" t="s">
        <v>100</v>
      </c>
      <c r="K18" s="25" t="s">
        <v>146</v>
      </c>
      <c r="L18" s="169">
        <v>0</v>
      </c>
      <c r="M18" s="170">
        <f>VLOOKUP(Model,STDProdRange,'Standard Product'!T14,FALSE)</f>
        <v>0</v>
      </c>
      <c r="O18" s="219" t="s">
        <v>258</v>
      </c>
    </row>
    <row r="19" spans="2:17" x14ac:dyDescent="0.25">
      <c r="B19" s="21" t="str">
        <f>IF(ModelType=3,"Dia (ID):","Length(ID):")</f>
        <v>Length(ID):</v>
      </c>
      <c r="C19" s="44">
        <f>VLOOKUP(Model,STDProdRange,'Standard Product'!D14,FALSE)</f>
        <v>4</v>
      </c>
      <c r="E19" s="19" t="s">
        <v>159</v>
      </c>
      <c r="F19" s="166">
        <f>VLOOKUP(Model,STDProdRange,'Standard Product'!H14,FALSE)</f>
        <v>0</v>
      </c>
      <c r="G19" s="143">
        <f>VLOOKUP(Model,STDProdRange,'Standard Product'!I14,FALSE)</f>
        <v>1</v>
      </c>
      <c r="K19" s="25" t="s">
        <v>55</v>
      </c>
      <c r="L19" s="115">
        <v>0</v>
      </c>
      <c r="M19" s="12"/>
      <c r="O19" s="219"/>
      <c r="P19" s="228">
        <f>L17/12*C21*IF(C19&gt;0,(C19+F21/6),1)*(TotalRows-1)</f>
        <v>0</v>
      </c>
      <c r="Q19" s="133" t="s">
        <v>251</v>
      </c>
    </row>
    <row r="20" spans="2:17" x14ac:dyDescent="0.25">
      <c r="B20" s="21" t="str">
        <f>IF(ModelType=3," ","Width(ID):")</f>
        <v>Width(ID):</v>
      </c>
      <c r="C20" s="44">
        <f>VLOOKUP(Model,STDProdRange,'Standard Product'!E14,FALSE)</f>
        <v>4</v>
      </c>
      <c r="E20" s="19" t="s">
        <v>160</v>
      </c>
      <c r="F20" s="166">
        <f>VLOOKUP(Model,STDProdRange,'Standard Product'!L14,FALSE)</f>
        <v>4</v>
      </c>
      <c r="G20" s="143">
        <f>VLOOKUP(Model,STDProdRange,'Standard Product'!M14,FALSE)</f>
        <v>0.4</v>
      </c>
      <c r="M20" s="12"/>
      <c r="O20" s="219"/>
      <c r="P20" s="228">
        <f>L15*C21*IF(C19&gt;0,(C19+F21/6),1)*2</f>
        <v>0</v>
      </c>
      <c r="Q20" s="133" t="s">
        <v>253</v>
      </c>
    </row>
    <row r="21" spans="2:17" x14ac:dyDescent="0.25">
      <c r="B21" s="215" t="s">
        <v>46</v>
      </c>
      <c r="C21" s="44">
        <f>VLOOKUP(Model,STDProdRange,'Standard Product'!F14,FALSE)</f>
        <v>4</v>
      </c>
      <c r="E21" s="25" t="s">
        <v>161</v>
      </c>
      <c r="F21" s="166">
        <f>ABS(VLOOKUP(Model,STDProdRange,'Standard Product'!J14,FALSE))</f>
        <v>4</v>
      </c>
      <c r="G21" s="143">
        <f>VLOOKUP(Model,STDProdRange,'Standard Product'!K14,FALSE)</f>
        <v>0.75</v>
      </c>
      <c r="K21" s="25" t="s">
        <v>164</v>
      </c>
      <c r="L21" s="216"/>
      <c r="M21" s="12"/>
      <c r="O21" s="219"/>
      <c r="P21" s="228">
        <f>I32*L16*IF(C19&gt;0,(C19+F21/6),1)</f>
        <v>0</v>
      </c>
      <c r="Q21" s="133" t="s">
        <v>254</v>
      </c>
    </row>
    <row r="22" spans="2:17" x14ac:dyDescent="0.25">
      <c r="B22" s="21" t="s">
        <v>163</v>
      </c>
      <c r="C22" s="166">
        <f>VLOOKUP(Model,STDProdRange,'Standard Product'!G14,FALSE)</f>
        <v>8</v>
      </c>
      <c r="D22" s="214"/>
      <c r="E22" s="25" t="s">
        <v>162</v>
      </c>
      <c r="F22" s="168">
        <f>VLOOKUP(Model,STDProdRange,'Standard Product'!N14,FALSE)</f>
        <v>4</v>
      </c>
      <c r="G22" s="143">
        <f>VLOOKUP(Model,STDProdRange,'Standard Product'!O14,FALSE)</f>
        <v>0.4</v>
      </c>
      <c r="K22" s="25" t="s">
        <v>165</v>
      </c>
      <c r="L22" s="216"/>
      <c r="M22" s="12"/>
      <c r="O22" s="219"/>
      <c r="P22" s="228">
        <f>F22/12*C21*IF(C19&gt;0,C19,1)*G22*2</f>
        <v>4.2666666666666666</v>
      </c>
      <c r="Q22" s="133" t="s">
        <v>171</v>
      </c>
    </row>
    <row r="23" spans="2:17" x14ac:dyDescent="0.25">
      <c r="B23" s="20" t="s">
        <v>36</v>
      </c>
      <c r="C23" s="17"/>
      <c r="D23" s="39"/>
      <c r="E23" s="17"/>
      <c r="F23" s="17"/>
      <c r="G23" s="17"/>
      <c r="H23" s="17"/>
      <c r="I23" s="17"/>
      <c r="J23" s="17"/>
      <c r="K23" s="17"/>
      <c r="L23" s="17"/>
      <c r="M23" s="18"/>
      <c r="P23" s="228">
        <f>IF(L17&gt;0,(TotalRows-1)*C21*IF(C19&gt;0,C19,1)*F20/12*G20*2,0)</f>
        <v>0</v>
      </c>
      <c r="Q23" s="133" t="s">
        <v>257</v>
      </c>
    </row>
    <row r="24" spans="2:17" x14ac:dyDescent="0.25">
      <c r="B24" s="11"/>
      <c r="C24" s="19" t="s">
        <v>41</v>
      </c>
      <c r="D24" s="117">
        <v>1</v>
      </c>
      <c r="F24" s="2" t="s">
        <v>166</v>
      </c>
      <c r="G24" s="48">
        <f>IF(C19&gt;0,IF(ModelType=3,P68,P37),IF(ModelType=2,"TBDL","ERROR"))</f>
        <v>1</v>
      </c>
      <c r="J24" s="2" t="s">
        <v>44</v>
      </c>
      <c r="K24" s="198">
        <f>IF(ModelType=3,P79,P50)</f>
        <v>64</v>
      </c>
      <c r="L24" s="197" t="e">
        <f>K24/E13</f>
        <v>#DIV/0!</v>
      </c>
      <c r="M24" s="192" t="s">
        <v>167</v>
      </c>
      <c r="O24" s="2" t="s">
        <v>104</v>
      </c>
      <c r="P24" s="1">
        <f>IF(G20&gt;0,P19*L19,0)</f>
        <v>0</v>
      </c>
      <c r="Q24" s="133" t="s">
        <v>252</v>
      </c>
    </row>
    <row r="25" spans="2:17" x14ac:dyDescent="0.25">
      <c r="B25" s="11"/>
      <c r="M25" s="83"/>
      <c r="O25" s="2" t="s">
        <v>107</v>
      </c>
      <c r="P25" s="1">
        <f>IF(G22&gt;0,P20*L19,0)</f>
        <v>0</v>
      </c>
      <c r="Q25" s="133" t="s">
        <v>189</v>
      </c>
    </row>
    <row r="26" spans="2:17" x14ac:dyDescent="0.25">
      <c r="B26" s="11"/>
      <c r="C26" s="7"/>
      <c r="D26" s="7"/>
      <c r="E26" s="7"/>
      <c r="F26" s="19" t="s">
        <v>37</v>
      </c>
      <c r="G26" s="26">
        <f>E14</f>
        <v>0</v>
      </c>
      <c r="H26" s="7"/>
      <c r="I26" s="7"/>
      <c r="J26" s="7"/>
      <c r="K26" s="19" t="s">
        <v>98</v>
      </c>
      <c r="L26" s="193">
        <f>G24</f>
        <v>1</v>
      </c>
      <c r="M26" s="83" t="s">
        <v>151</v>
      </c>
      <c r="O26" s="2" t="s">
        <v>105</v>
      </c>
      <c r="P26" s="1">
        <f>IF(G19&gt;0,P21*L19,0)</f>
        <v>0</v>
      </c>
      <c r="Q26" s="133" t="s">
        <v>170</v>
      </c>
    </row>
    <row r="27" spans="2:17" x14ac:dyDescent="0.25">
      <c r="B27" s="11"/>
      <c r="C27" s="7"/>
      <c r="D27" s="7"/>
      <c r="E27" s="7" t="s">
        <v>43</v>
      </c>
      <c r="F27" s="7"/>
      <c r="G27" s="26"/>
      <c r="H27" s="7"/>
      <c r="I27" s="7"/>
      <c r="J27" s="7"/>
      <c r="K27" s="26">
        <f>'Summary-Square Chamber'!D16+(L15*2)</f>
        <v>4.666666666666667</v>
      </c>
      <c r="L27" s="7" t="s">
        <v>0</v>
      </c>
      <c r="M27" s="12"/>
      <c r="O27" s="2" t="s">
        <v>108</v>
      </c>
      <c r="P27" s="1">
        <f>P22*L19</f>
        <v>0</v>
      </c>
      <c r="Q27" s="133" t="s">
        <v>171</v>
      </c>
    </row>
    <row r="28" spans="2:17" x14ac:dyDescent="0.25">
      <c r="B28" s="11"/>
      <c r="C28" s="7"/>
      <c r="D28" s="7"/>
      <c r="E28" s="7"/>
      <c r="F28" s="7"/>
      <c r="G28" s="26">
        <f>G26-L14</f>
        <v>0</v>
      </c>
      <c r="H28" s="7"/>
      <c r="I28" s="7"/>
      <c r="J28" s="7"/>
      <c r="K28" s="7"/>
      <c r="L28" s="7"/>
      <c r="M28" s="12"/>
      <c r="O28" s="2" t="s">
        <v>110</v>
      </c>
      <c r="P28" s="1">
        <f>P23*IF(L17&gt;0,L19,1)</f>
        <v>0</v>
      </c>
      <c r="Q28" s="133" t="s">
        <v>169</v>
      </c>
    </row>
    <row r="29" spans="2:17" x14ac:dyDescent="0.25">
      <c r="B29" s="11"/>
      <c r="C29" s="7"/>
      <c r="D29" s="7"/>
      <c r="E29" s="7"/>
      <c r="F29" s="7"/>
      <c r="G29" s="26">
        <f>G28-C22/12</f>
        <v>-0.66666666666666663</v>
      </c>
      <c r="H29" s="7"/>
      <c r="I29" s="7"/>
      <c r="J29" s="7"/>
      <c r="K29" s="7"/>
      <c r="L29" s="7"/>
      <c r="M29" s="12"/>
      <c r="O29" s="2" t="s">
        <v>109</v>
      </c>
      <c r="P29" s="1">
        <f>C20*IF(C19&gt;0,C19,1)*F19/12*G19*TotalRows</f>
        <v>0</v>
      </c>
      <c r="Q29" s="133" t="s">
        <v>179</v>
      </c>
    </row>
    <row r="30" spans="2:17" x14ac:dyDescent="0.25">
      <c r="B30" s="11"/>
      <c r="C30" s="7"/>
      <c r="D30" s="7"/>
      <c r="E30" s="7"/>
      <c r="F30" s="7"/>
      <c r="G30" s="1"/>
      <c r="H30" s="7"/>
      <c r="I30" s="7"/>
      <c r="J30" s="7"/>
      <c r="K30" s="7"/>
      <c r="L30" s="7"/>
      <c r="M30" s="12"/>
      <c r="O30" s="2" t="s">
        <v>260</v>
      </c>
      <c r="P30" s="1">
        <f>C21*C20*IF(C19&gt;0,C19,1)*TotalRows</f>
        <v>64</v>
      </c>
      <c r="Q30" s="133" t="s">
        <v>172</v>
      </c>
    </row>
    <row r="31" spans="2:17" x14ac:dyDescent="0.25">
      <c r="B31" s="11"/>
      <c r="C31" s="7"/>
      <c r="D31" s="7"/>
      <c r="E31" s="7"/>
      <c r="F31" s="7"/>
      <c r="G31" s="26"/>
      <c r="H31" s="7"/>
      <c r="I31" s="19" t="s">
        <v>150</v>
      </c>
      <c r="J31" s="7"/>
      <c r="K31" s="7"/>
      <c r="L31" s="7"/>
      <c r="M31" s="12"/>
      <c r="O31" s="146" t="s">
        <v>259</v>
      </c>
      <c r="P31" s="148">
        <f>SUM(P24:P30)</f>
        <v>64</v>
      </c>
      <c r="Q31" s="145" t="s">
        <v>173</v>
      </c>
    </row>
    <row r="32" spans="2:17" x14ac:dyDescent="0.25">
      <c r="B32" s="11"/>
      <c r="C32" s="7"/>
      <c r="D32" s="7"/>
      <c r="E32" s="7"/>
      <c r="F32" s="7"/>
      <c r="G32" s="26"/>
      <c r="H32" s="7"/>
      <c r="I32" s="34">
        <f>((C20+F20/6)*(TotalRows))+((TotalRows-1)*L17/12)+(2*L15)+(F22-F20)/6</f>
        <v>4.666666666666667</v>
      </c>
      <c r="J32" s="7" t="s">
        <v>0</v>
      </c>
      <c r="K32" s="7"/>
      <c r="L32" s="7"/>
      <c r="M32" s="23"/>
      <c r="O32" s="151" t="s">
        <v>210</v>
      </c>
      <c r="P32" s="152">
        <f>SUM(P27:P30)</f>
        <v>64</v>
      </c>
      <c r="Q32" s="149" t="s">
        <v>178</v>
      </c>
    </row>
    <row r="33" spans="2:18" x14ac:dyDescent="0.25">
      <c r="B33" s="11"/>
      <c r="C33" s="7"/>
      <c r="D33" s="7"/>
      <c r="E33" s="7"/>
      <c r="F33" s="7"/>
      <c r="G33" s="26"/>
      <c r="H33" s="7">
        <f>TotalRows</f>
        <v>1</v>
      </c>
      <c r="I33" s="37" t="s">
        <v>97</v>
      </c>
      <c r="J33" s="7"/>
      <c r="K33" s="7"/>
      <c r="L33" s="7"/>
      <c r="M33" s="12"/>
    </row>
    <row r="34" spans="2:18" x14ac:dyDescent="0.25">
      <c r="B34" s="11"/>
      <c r="C34" s="7"/>
      <c r="D34" s="7"/>
      <c r="E34" s="7"/>
      <c r="F34" s="7"/>
      <c r="G34" s="26">
        <f>G29-C21</f>
        <v>-4.666666666666667</v>
      </c>
      <c r="H34" s="7"/>
      <c r="I34" s="7"/>
      <c r="J34" s="7"/>
      <c r="K34" s="7"/>
      <c r="L34" s="7"/>
      <c r="M34" s="12"/>
      <c r="O34" s="2" t="s">
        <v>261</v>
      </c>
      <c r="P34" s="228">
        <f>IF(L18&gt;0,TotalRows*C20*C21*F21/12*G21,0)</f>
        <v>0</v>
      </c>
    </row>
    <row r="35" spans="2:18" x14ac:dyDescent="0.25">
      <c r="B35" s="11"/>
      <c r="C35" s="7"/>
      <c r="D35" s="7"/>
      <c r="E35" s="7"/>
      <c r="F35" s="7"/>
      <c r="G35" s="26">
        <f>G34-F19/12</f>
        <v>-4.666666666666667</v>
      </c>
      <c r="H35" s="7"/>
      <c r="I35" s="7"/>
      <c r="J35" s="7"/>
      <c r="K35" s="7"/>
      <c r="L35" s="7"/>
      <c r="M35" s="12"/>
      <c r="O35" s="2" t="s">
        <v>113</v>
      </c>
      <c r="P35" s="1">
        <f>TotalRows*C20*C21*F21/12*G21*IF(L18&gt;0,L19,1)</f>
        <v>4</v>
      </c>
      <c r="Q35" s="133" t="s">
        <v>175</v>
      </c>
      <c r="R35" s="76"/>
    </row>
    <row r="36" spans="2:18" x14ac:dyDescent="0.25">
      <c r="B36" s="11"/>
      <c r="C36" s="7"/>
      <c r="D36" s="7"/>
      <c r="E36" s="7" t="s">
        <v>42</v>
      </c>
      <c r="F36" s="7"/>
      <c r="G36" s="26">
        <f>G35-L16</f>
        <v>-4.666666666666667</v>
      </c>
      <c r="H36" s="7"/>
      <c r="I36" s="7"/>
      <c r="J36" s="7"/>
      <c r="K36" s="7"/>
      <c r="L36" s="7"/>
      <c r="M36" s="12"/>
      <c r="O36" s="2" t="s">
        <v>112</v>
      </c>
      <c r="P36" s="1">
        <f>I32*(C21+L16)*L18/12*L19</f>
        <v>0</v>
      </c>
      <c r="Q36" s="133" t="s">
        <v>176</v>
      </c>
      <c r="R36" s="76"/>
    </row>
    <row r="37" spans="2:18" ht="15" customHeight="1" thickBot="1" x14ac:dyDescent="0.3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O37" s="2" t="s">
        <v>114</v>
      </c>
      <c r="P37" s="1">
        <f>IF(C19&gt;0,ROUNDUP((P15+2*P35+P36)/(P31+2*P35+P36),0.1),IF(ModelType=2,1,"ERROR"))</f>
        <v>1</v>
      </c>
      <c r="Q37" s="133" t="s">
        <v>177</v>
      </c>
    </row>
    <row r="38" spans="2:18" ht="15" customHeight="1" x14ac:dyDescent="0.25"/>
    <row r="39" spans="2:18" x14ac:dyDescent="0.25">
      <c r="O39" s="2" t="s">
        <v>211</v>
      </c>
      <c r="P39" s="218" t="str">
        <f>IF(C19&gt;0,"N/A",IF(ModelType=2,P15/P31,"ERROR"))</f>
        <v>N/A</v>
      </c>
      <c r="Q39" s="133" t="s">
        <v>209</v>
      </c>
    </row>
    <row r="40" spans="2:18" ht="15.75" x14ac:dyDescent="0.3">
      <c r="C40" s="226"/>
      <c r="O40" s="19" t="s">
        <v>121</v>
      </c>
      <c r="P40" s="157">
        <f>P43/(C21*12)</f>
        <v>1.3333333333333333</v>
      </c>
      <c r="Q40" s="133" t="s">
        <v>190</v>
      </c>
    </row>
    <row r="41" spans="2:18" x14ac:dyDescent="0.25">
      <c r="O41" s="19" t="s">
        <v>122</v>
      </c>
      <c r="P41" s="158">
        <f>(P48-P49)/(C21*12)</f>
        <v>0</v>
      </c>
      <c r="Q41" s="133" t="s">
        <v>191</v>
      </c>
    </row>
    <row r="42" spans="2:18" x14ac:dyDescent="0.25">
      <c r="P42" s="157"/>
    </row>
    <row r="43" spans="2:18" x14ac:dyDescent="0.25">
      <c r="O43" s="2" t="s">
        <v>123</v>
      </c>
      <c r="P43" s="157">
        <f>IF(C19&gt;0,P32*P37+P13*L19+(P37-1)*P35*2,IF(ModelType=2,P32*P39,"ERROR"))</f>
        <v>64</v>
      </c>
      <c r="Q43" s="1" t="s">
        <v>186</v>
      </c>
    </row>
    <row r="44" spans="2:18" x14ac:dyDescent="0.25">
      <c r="P44" s="1">
        <f>(G29-G36)*I32*K27</f>
        <v>87.111111111111128</v>
      </c>
      <c r="Q44" s="133" t="s">
        <v>207</v>
      </c>
    </row>
    <row r="45" spans="2:18" x14ac:dyDescent="0.25">
      <c r="P45" s="1">
        <f>'Summary-Square Chamber'!D26*P3+'Summary-Square Chamber'!D27*P4+'Summary-Square Chamber'!D28*P5+'Summary-Square Chamber'!D29*P6</f>
        <v>87.111111111111128</v>
      </c>
      <c r="Q45" s="1" t="s">
        <v>187</v>
      </c>
    </row>
    <row r="46" spans="2:18" x14ac:dyDescent="0.25">
      <c r="P46" s="1">
        <f>IF(ModelType=2,K27,1)*(P12+P37*SUM(P19:P23)+P34*(P37-1))</f>
        <v>4.2666666666666666</v>
      </c>
      <c r="Q46" s="1" t="s">
        <v>263</v>
      </c>
    </row>
    <row r="47" spans="2:18" x14ac:dyDescent="0.25">
      <c r="O47" s="32"/>
      <c r="P47" s="1">
        <f>IF(L19&gt;0,P48/L19,0)</f>
        <v>0</v>
      </c>
      <c r="Q47" s="1" t="s">
        <v>262</v>
      </c>
    </row>
    <row r="48" spans="2:18" x14ac:dyDescent="0.25">
      <c r="O48" s="2" t="s">
        <v>124</v>
      </c>
      <c r="P48" s="157">
        <f>IF(ModelType=2,K27,1)*(P12*L19+P37*SUM(P24:P26)+P36*(P37-1))</f>
        <v>0</v>
      </c>
      <c r="Q48" s="1" t="s">
        <v>188</v>
      </c>
    </row>
    <row r="49" spans="15:17" x14ac:dyDescent="0.25">
      <c r="P49" s="157">
        <f>I32*K27*L16*L19</f>
        <v>0</v>
      </c>
      <c r="Q49" s="1" t="s">
        <v>192</v>
      </c>
    </row>
    <row r="50" spans="15:17" x14ac:dyDescent="0.25">
      <c r="O50" s="2" t="s">
        <v>238</v>
      </c>
      <c r="P50" s="1">
        <f>P43+P48</f>
        <v>64</v>
      </c>
    </row>
    <row r="53" spans="15:17" x14ac:dyDescent="0.25">
      <c r="O53" s="219" t="s">
        <v>220</v>
      </c>
    </row>
    <row r="54" spans="15:17" x14ac:dyDescent="0.25">
      <c r="O54" s="2" t="s">
        <v>241</v>
      </c>
      <c r="P54" s="1">
        <f>E13</f>
        <v>0</v>
      </c>
    </row>
    <row r="55" spans="15:17" x14ac:dyDescent="0.25">
      <c r="O55" s="2" t="s">
        <v>221</v>
      </c>
      <c r="P55" s="1">
        <f>3.142*C19*C19/4*C21</f>
        <v>50.271999999999998</v>
      </c>
      <c r="Q55" s="133" t="s">
        <v>224</v>
      </c>
    </row>
    <row r="56" spans="15:17" x14ac:dyDescent="0.25">
      <c r="O56" s="2" t="s">
        <v>222</v>
      </c>
      <c r="P56" s="1">
        <f>C19+2*F20/12</f>
        <v>4.666666666666667</v>
      </c>
      <c r="Q56" s="133" t="s">
        <v>224</v>
      </c>
    </row>
    <row r="57" spans="15:17" x14ac:dyDescent="0.25">
      <c r="Q57" s="133"/>
    </row>
    <row r="58" spans="15:17" x14ac:dyDescent="0.25">
      <c r="O58" s="2" t="s">
        <v>240</v>
      </c>
      <c r="P58" s="1">
        <f>(P56+L17/12)*(P56+L18/12)</f>
        <v>21.777777777777782</v>
      </c>
      <c r="Q58" s="133" t="s">
        <v>225</v>
      </c>
    </row>
    <row r="59" spans="15:17" x14ac:dyDescent="0.25">
      <c r="O59" s="2" t="s">
        <v>223</v>
      </c>
      <c r="P59" s="1">
        <f>(P58-(3.142*P56*P56/4))*C21</f>
        <v>18.685333333333347</v>
      </c>
    </row>
    <row r="60" spans="15:17" x14ac:dyDescent="0.25">
      <c r="O60" s="2" t="s">
        <v>226</v>
      </c>
      <c r="P60" s="1">
        <f>P59*L19</f>
        <v>0</v>
      </c>
      <c r="Q60" s="133" t="s">
        <v>224</v>
      </c>
    </row>
    <row r="61" spans="15:17" x14ac:dyDescent="0.25">
      <c r="O61" s="2" t="s">
        <v>227</v>
      </c>
      <c r="P61" s="1">
        <f>P55+P60</f>
        <v>50.271999999999998</v>
      </c>
    </row>
    <row r="62" spans="15:17" x14ac:dyDescent="0.25">
      <c r="O62" s="2" t="s">
        <v>228</v>
      </c>
      <c r="P62" s="1">
        <f>ROUNDUP(P54/P61,0.1)</f>
        <v>0</v>
      </c>
    </row>
    <row r="63" spans="15:17" x14ac:dyDescent="0.25">
      <c r="O63" s="144" t="s">
        <v>230</v>
      </c>
      <c r="P63" s="1">
        <f>P62/TotalRows</f>
        <v>0</v>
      </c>
    </row>
    <row r="64" spans="15:17" x14ac:dyDescent="0.25">
      <c r="O64" s="2" t="s">
        <v>231</v>
      </c>
      <c r="P64" s="1">
        <f>ROUNDDOWN(P63,0.1)</f>
        <v>0</v>
      </c>
    </row>
    <row r="65" spans="10:17" x14ac:dyDescent="0.25">
      <c r="O65" s="2" t="s">
        <v>232</v>
      </c>
      <c r="P65" s="1">
        <f>(P63-P64)*TotalRows</f>
        <v>0</v>
      </c>
    </row>
    <row r="66" spans="10:17" x14ac:dyDescent="0.25">
      <c r="Q66" s="133"/>
    </row>
    <row r="67" spans="10:17" x14ac:dyDescent="0.25">
      <c r="O67" s="2" t="s">
        <v>234</v>
      </c>
      <c r="Q67" s="133"/>
    </row>
    <row r="68" spans="10:17" x14ac:dyDescent="0.25">
      <c r="O68" s="2" t="s">
        <v>229</v>
      </c>
      <c r="P68" s="1">
        <f>ROUNDUP(P63,0.1)</f>
        <v>0</v>
      </c>
      <c r="Q68" s="133" t="s">
        <v>233</v>
      </c>
    </row>
    <row r="69" spans="10:17" x14ac:dyDescent="0.25">
      <c r="O69" s="2" t="s">
        <v>242</v>
      </c>
      <c r="P69" s="1">
        <f>TotalRows*P68*P55</f>
        <v>0</v>
      </c>
      <c r="Q69" s="133" t="s">
        <v>235</v>
      </c>
    </row>
    <row r="70" spans="10:17" x14ac:dyDescent="0.25">
      <c r="O70" s="19" t="s">
        <v>121</v>
      </c>
      <c r="P70" s="1">
        <f>P69/(12*C21)</f>
        <v>0</v>
      </c>
      <c r="Q70" s="133"/>
    </row>
    <row r="71" spans="10:17" x14ac:dyDescent="0.25">
      <c r="O71" s="2" t="s">
        <v>243</v>
      </c>
      <c r="P71" s="1">
        <f>TotalRows*P56+(TotalRows-1)*L17/12+2*L15</f>
        <v>4.666666666666667</v>
      </c>
    </row>
    <row r="72" spans="10:17" x14ac:dyDescent="0.25">
      <c r="O72" s="2" t="s">
        <v>244</v>
      </c>
      <c r="P72" s="1">
        <f>P68*P56+(P68-1)*L18/12+2*L15</f>
        <v>0</v>
      </c>
    </row>
    <row r="73" spans="10:17" x14ac:dyDescent="0.25">
      <c r="O73" s="2" t="s">
        <v>245</v>
      </c>
      <c r="P73" s="1">
        <f>P71*P72*C21</f>
        <v>0</v>
      </c>
    </row>
    <row r="74" spans="10:17" x14ac:dyDescent="0.25">
      <c r="O74" s="2" t="s">
        <v>236</v>
      </c>
      <c r="P74" s="1">
        <f>TotalRows*P68*C21*3.142*P56*P56/4</f>
        <v>0</v>
      </c>
    </row>
    <row r="75" spans="10:17" x14ac:dyDescent="0.25">
      <c r="O75" s="2" t="s">
        <v>265</v>
      </c>
      <c r="P75" s="1">
        <f>P73-P74</f>
        <v>0</v>
      </c>
      <c r="Q75" s="133"/>
    </row>
    <row r="76" spans="10:17" x14ac:dyDescent="0.25">
      <c r="O76" s="2" t="s">
        <v>264</v>
      </c>
      <c r="P76" s="1">
        <f>(P73-P74)*L19</f>
        <v>0</v>
      </c>
      <c r="Q76" s="133" t="s">
        <v>237</v>
      </c>
    </row>
    <row r="77" spans="10:17" x14ac:dyDescent="0.25">
      <c r="O77" s="2" t="s">
        <v>266</v>
      </c>
      <c r="P77" s="1">
        <f>I32*K27*L16*L19</f>
        <v>0</v>
      </c>
      <c r="Q77" s="133"/>
    </row>
    <row r="78" spans="10:17" x14ac:dyDescent="0.25">
      <c r="O78" s="19" t="s">
        <v>122</v>
      </c>
      <c r="P78" s="1">
        <f>(P76-P77)/(12*C21)</f>
        <v>0</v>
      </c>
      <c r="Q78" s="133"/>
    </row>
    <row r="79" spans="10:17" x14ac:dyDescent="0.25">
      <c r="J79" s="1"/>
      <c r="K79" s="133"/>
      <c r="O79" s="2" t="s">
        <v>238</v>
      </c>
      <c r="P79" s="1">
        <f>P69+P76</f>
        <v>0</v>
      </c>
    </row>
    <row r="82" spans="9:12" x14ac:dyDescent="0.25">
      <c r="I82" s="224"/>
    </row>
    <row r="83" spans="9:12" x14ac:dyDescent="0.25">
      <c r="I83" s="133"/>
    </row>
    <row r="84" spans="9:12" x14ac:dyDescent="0.25">
      <c r="L84" s="223"/>
    </row>
    <row r="85" spans="9:12" x14ac:dyDescent="0.25">
      <c r="L85" s="133"/>
    </row>
    <row r="86" spans="9:12" x14ac:dyDescent="0.25">
      <c r="I86" s="1"/>
      <c r="J86" s="133"/>
    </row>
  </sheetData>
  <mergeCells count="6">
    <mergeCell ref="F13:H13"/>
    <mergeCell ref="F8:I8"/>
    <mergeCell ref="F10:I10"/>
    <mergeCell ref="C10:D10"/>
    <mergeCell ref="L8:M8"/>
    <mergeCell ref="L10:M10"/>
  </mergeCells>
  <conditionalFormatting sqref="L14">
    <cfRule type="cellIs" dxfId="13" priority="6" operator="lessThan">
      <formula>$M$14</formula>
    </cfRule>
  </conditionalFormatting>
  <conditionalFormatting sqref="L15">
    <cfRule type="cellIs" dxfId="12" priority="5" operator="lessThan">
      <formula>$M$15</formula>
    </cfRule>
  </conditionalFormatting>
  <conditionalFormatting sqref="L16">
    <cfRule type="cellIs" dxfId="11" priority="4" operator="lessThan">
      <formula>$M$16</formula>
    </cfRule>
  </conditionalFormatting>
  <conditionalFormatting sqref="L17">
    <cfRule type="cellIs" dxfId="10" priority="3" operator="lessThan">
      <formula>$M$17</formula>
    </cfRule>
  </conditionalFormatting>
  <conditionalFormatting sqref="L18">
    <cfRule type="cellIs" dxfId="9" priority="2" operator="lessThan">
      <formula>$M$18</formula>
    </cfRule>
  </conditionalFormatting>
  <conditionalFormatting sqref="C20">
    <cfRule type="expression" dxfId="8" priority="1" stopIfTrue="1">
      <formula>IF(ModelType=3,TRUE,FALSE)</formula>
    </cfRule>
  </conditionalFormatting>
  <dataValidations count="2">
    <dataValidation type="custom" showInputMessage="1" showErrorMessage="1" error="Number of Rows Must be Integer &gt; 0 or number entered is Too Large" sqref="D24" xr:uid="{00000000-0002-0000-0000-000000000000}">
      <formula1>IF(D24&lt;1,FALSE,IF(INT(D24)&lt;D24,FALSE,IF(E13&gt;0,IF(E17&lt;&gt;"",IF(G24&lt;2,FALSE,TRUE),TRUE),TRUE)))</formula1>
    </dataValidation>
    <dataValidation type="decimal" errorStyle="warning" operator="equal" allowBlank="1" showInputMessage="1" showErrorMessage="1" errorTitle="Stone Porisity" error="Disclaimer:_x000a_It is not recommended to use stone voids as storage!_x000a_Voids in stone will become contaminated over time." sqref="L19" xr:uid="{00000000-0002-0000-0000-000001000000}">
      <formula1>0</formula1>
    </dataValidation>
  </dataValidations>
  <pageMargins left="0.5" right="0.5" top="0.5" bottom="0.5" header="0.5" footer="0.5"/>
  <pageSetup orientation="landscape" r:id="rId1"/>
  <rowBreaks count="1" manualBreakCount="1">
    <brk id="38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'Standard Product'!$B$18:$B$142</xm:f>
          </x14:formula1>
          <xm:sqref>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9"/>
  <sheetViews>
    <sheetView showGridLines="0" showRowColHeaders="0" zoomScale="90" zoomScaleNormal="90" workbookViewId="0">
      <selection activeCell="I6" sqref="I6"/>
    </sheetView>
  </sheetViews>
  <sheetFormatPr defaultRowHeight="15" x14ac:dyDescent="0.25"/>
  <cols>
    <col min="1" max="1" width="2.140625" style="133" customWidth="1"/>
    <col min="2" max="2" width="11.140625" style="133" customWidth="1"/>
    <col min="3" max="3" width="12.42578125" style="133" customWidth="1"/>
    <col min="4" max="4" width="10.5703125" style="133" customWidth="1"/>
    <col min="5" max="5" width="11.42578125" style="133" customWidth="1"/>
    <col min="6" max="6" width="10.28515625" style="133" customWidth="1"/>
    <col min="7" max="7" width="9.140625" style="133" customWidth="1"/>
    <col min="8" max="8" width="11.5703125" style="133" bestFit="1" customWidth="1"/>
    <col min="9" max="9" width="9.140625" style="133"/>
    <col min="10" max="10" width="9.140625" style="133" customWidth="1"/>
    <col min="11" max="12" width="9.140625" style="133"/>
    <col min="13" max="13" width="9.140625" style="133" customWidth="1"/>
    <col min="14" max="14" width="9.42578125" style="133" customWidth="1"/>
    <col min="15" max="16384" width="9.140625" style="133"/>
  </cols>
  <sheetData>
    <row r="1" spans="1:14" ht="15.75" thickBot="1" x14ac:dyDescent="0.3">
      <c r="A1"/>
      <c r="B1"/>
      <c r="C1"/>
      <c r="D1"/>
      <c r="E1"/>
      <c r="F1"/>
      <c r="G1" s="14"/>
      <c r="H1" s="14"/>
      <c r="I1"/>
      <c r="J1"/>
      <c r="K1"/>
      <c r="L1"/>
      <c r="M1"/>
    </row>
    <row r="2" spans="1:14" x14ac:dyDescent="0.25">
      <c r="A2"/>
      <c r="B2" s="8"/>
      <c r="C2" s="9"/>
      <c r="D2" s="9"/>
      <c r="E2" s="9"/>
      <c r="F2" s="9"/>
      <c r="G2" s="7"/>
      <c r="H2"/>
      <c r="I2" s="9"/>
      <c r="J2" s="9"/>
      <c r="K2" s="9"/>
      <c r="L2" s="9"/>
      <c r="M2" s="10"/>
    </row>
    <row r="3" spans="1:14" ht="15" customHeight="1" x14ac:dyDescent="0.3">
      <c r="A3"/>
      <c r="B3" s="11"/>
      <c r="C3" s="7"/>
      <c r="D3" s="7"/>
      <c r="E3" s="7"/>
      <c r="F3" s="7"/>
      <c r="G3" s="38" t="s">
        <v>30</v>
      </c>
      <c r="H3"/>
      <c r="I3" s="7"/>
      <c r="J3" s="7"/>
      <c r="K3" s="7"/>
      <c r="L3" s="7"/>
      <c r="M3" s="12"/>
    </row>
    <row r="4" spans="1:14" x14ac:dyDescent="0.25">
      <c r="A4"/>
      <c r="B4" s="11"/>
      <c r="C4" s="7"/>
      <c r="D4" s="7"/>
      <c r="E4" s="7"/>
      <c r="F4" s="7"/>
      <c r="G4" s="16" t="s">
        <v>31</v>
      </c>
      <c r="H4" s="7"/>
      <c r="I4" s="7"/>
      <c r="J4" s="7"/>
      <c r="K4" s="7"/>
      <c r="L4" s="7"/>
      <c r="M4" s="12"/>
    </row>
    <row r="5" spans="1:14" ht="15" customHeight="1" x14ac:dyDescent="0.25">
      <c r="A5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12"/>
    </row>
    <row r="6" spans="1:14" x14ac:dyDescent="0.25">
      <c r="A6"/>
      <c r="B6" s="11"/>
      <c r="C6" s="7"/>
      <c r="D6" s="7"/>
      <c r="E6" s="7"/>
      <c r="F6" s="7"/>
      <c r="G6" s="7"/>
      <c r="H6" s="7"/>
      <c r="I6" s="76" t="s">
        <v>270</v>
      </c>
      <c r="J6" s="7"/>
      <c r="K6" s="7"/>
      <c r="L6" s="7"/>
      <c r="M6" s="12"/>
    </row>
    <row r="7" spans="1:14" x14ac:dyDescent="0.25">
      <c r="A7"/>
      <c r="B7" s="20" t="s">
        <v>32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</row>
    <row r="8" spans="1:14" x14ac:dyDescent="0.25">
      <c r="A8"/>
      <c r="B8" s="21" t="s">
        <v>18</v>
      </c>
      <c r="C8" s="132" t="str">
        <f>IF('Design Data'!C8=0,"",'Design Data'!C8)</f>
        <v/>
      </c>
      <c r="D8" s="7"/>
      <c r="E8" s="19" t="s">
        <v>24</v>
      </c>
      <c r="F8" s="241" t="str">
        <f>IF('Design Data'!F8=0,"",'Design Data'!F8)</f>
        <v/>
      </c>
      <c r="G8" s="241"/>
      <c r="H8" s="241"/>
      <c r="I8" s="241"/>
      <c r="J8" s="7"/>
      <c r="K8" s="19" t="s">
        <v>19</v>
      </c>
      <c r="L8" s="241" t="str">
        <f>IF('Design Data'!L8=0,"",'Design Data'!L8)</f>
        <v/>
      </c>
      <c r="M8" s="242"/>
    </row>
    <row r="9" spans="1:14" x14ac:dyDescent="0.25">
      <c r="A9"/>
      <c r="B9" s="21"/>
      <c r="C9" s="7"/>
      <c r="D9" s="7"/>
      <c r="E9" s="7"/>
      <c r="F9" s="145"/>
      <c r="G9" s="145"/>
      <c r="H9" s="145"/>
      <c r="I9" s="145"/>
      <c r="J9" s="7"/>
      <c r="K9" s="7"/>
      <c r="L9" s="145"/>
      <c r="M9" s="192"/>
    </row>
    <row r="10" spans="1:14" x14ac:dyDescent="0.25">
      <c r="A10"/>
      <c r="B10" s="21" t="s">
        <v>52</v>
      </c>
      <c r="C10" s="243" t="str">
        <f>IF('Design Data'!C10=0,"",'Design Data'!C10)</f>
        <v/>
      </c>
      <c r="D10" s="243"/>
      <c r="E10" s="19" t="s">
        <v>53</v>
      </c>
      <c r="F10" s="244" t="str">
        <f>IF('Design Data'!F10=0,"",'Design Data'!F10)</f>
        <v/>
      </c>
      <c r="G10" s="244"/>
      <c r="H10" s="244"/>
      <c r="I10" s="244"/>
      <c r="J10" s="7"/>
      <c r="K10" s="19" t="s">
        <v>17</v>
      </c>
      <c r="L10" s="244" t="str">
        <f>IF('Design Data'!L10=0,"",'Design Data'!L10)</f>
        <v/>
      </c>
      <c r="M10" s="245"/>
    </row>
    <row r="11" spans="1:14" x14ac:dyDescent="0.25">
      <c r="A11"/>
      <c r="B11" s="11"/>
      <c r="C11" s="7"/>
      <c r="D11" s="7"/>
      <c r="E11" s="7"/>
      <c r="F11" s="7"/>
      <c r="G11" s="7"/>
      <c r="H11" s="7"/>
      <c r="I11" s="7"/>
      <c r="J11" s="7"/>
      <c r="K11" s="7"/>
      <c r="L11" s="7"/>
      <c r="M11" s="12"/>
    </row>
    <row r="12" spans="1:14" x14ac:dyDescent="0.25">
      <c r="A12"/>
      <c r="B12" s="20" t="s">
        <v>39</v>
      </c>
      <c r="C12" s="17"/>
      <c r="D12" s="248" t="str">
        <f>IF(ModelType=2,"Box Culvert",IF(ModelType=1,"Square/Rectangle Chamber","REFER TO SUMMARY TAB FOR ''ROUND CHAMBERS''"))</f>
        <v>Square/Rectangle Chamber</v>
      </c>
      <c r="E12" s="248"/>
      <c r="F12" s="248"/>
      <c r="G12" s="248"/>
      <c r="H12" s="248"/>
      <c r="I12" s="17"/>
      <c r="J12" s="17"/>
      <c r="K12" s="17"/>
      <c r="L12" s="17"/>
      <c r="M12" s="18"/>
      <c r="N12" s="1"/>
    </row>
    <row r="13" spans="1:14" x14ac:dyDescent="0.25">
      <c r="A13"/>
      <c r="B13" s="11"/>
      <c r="C13" s="19"/>
      <c r="D13" s="46"/>
      <c r="E13" s="7"/>
      <c r="F13" s="7"/>
      <c r="G13" s="7"/>
      <c r="H13" s="7"/>
      <c r="I13" s="19"/>
      <c r="J13" s="33" t="s">
        <v>40</v>
      </c>
      <c r="K13" s="7"/>
      <c r="L13" s="7"/>
      <c r="M13" s="12"/>
    </row>
    <row r="14" spans="1:14" x14ac:dyDescent="0.25">
      <c r="A14"/>
      <c r="B14" s="11"/>
      <c r="C14" s="35" t="s">
        <v>41</v>
      </c>
      <c r="D14" s="5">
        <f>TotalRows</f>
        <v>1</v>
      </c>
      <c r="E14" s="16"/>
      <c r="F14"/>
      <c r="G14" s="16"/>
      <c r="H14" s="7"/>
      <c r="I14" s="19"/>
      <c r="J14" s="27"/>
      <c r="K14" s="7"/>
      <c r="L14" s="7"/>
      <c r="M14" s="12"/>
      <c r="N14" s="1"/>
    </row>
    <row r="15" spans="1:14" x14ac:dyDescent="0.25">
      <c r="A15"/>
      <c r="B15" s="21"/>
      <c r="C15" s="2" t="s">
        <v>193</v>
      </c>
      <c r="D15" s="204">
        <f>'Design Data'!G24</f>
        <v>1</v>
      </c>
      <c r="E15" s="40"/>
      <c r="F15"/>
      <c r="G15"/>
      <c r="H15" s="7"/>
      <c r="I15" s="7"/>
      <c r="J15" s="7"/>
      <c r="K15" s="7"/>
      <c r="L15" s="7"/>
      <c r="M15" s="12"/>
      <c r="N15" s="1"/>
    </row>
    <row r="16" spans="1:14" x14ac:dyDescent="0.25">
      <c r="A16"/>
      <c r="B16" s="11"/>
      <c r="C16" s="2" t="s">
        <v>57</v>
      </c>
      <c r="D16" s="45">
        <f>IF(ModelType=2,'Design Data'!P39+'Design Data'!F22/6,(D15-2)*ModelCenterLength+2*ModelEndLength+(D15-1)*'Design Data'!L18/12)</f>
        <v>4.666666666666667</v>
      </c>
      <c r="E16" s="154" t="s">
        <v>117</v>
      </c>
      <c r="F16"/>
      <c r="G16"/>
      <c r="H16" s="49">
        <f>IF('Design Data'!C19&gt;0,'Design Data'!C19,D16)</f>
        <v>4</v>
      </c>
      <c r="I16"/>
      <c r="J16" s="29"/>
      <c r="K16"/>
      <c r="L16"/>
      <c r="M16" s="12"/>
      <c r="N16" s="1"/>
    </row>
    <row r="17" spans="1:14" x14ac:dyDescent="0.25">
      <c r="A17"/>
      <c r="B17" s="11"/>
      <c r="C17"/>
      <c r="D17"/>
      <c r="E17"/>
      <c r="F17"/>
      <c r="G17" s="7"/>
      <c r="H17" s="200" t="s">
        <v>0</v>
      </c>
      <c r="I17" s="7"/>
      <c r="J17"/>
      <c r="K17" s="1">
        <f>'Design Data'!C22</f>
        <v>8</v>
      </c>
      <c r="L17" s="133" t="s">
        <v>129</v>
      </c>
      <c r="M17" s="12"/>
      <c r="N17" s="1"/>
    </row>
    <row r="18" spans="1:14" x14ac:dyDescent="0.25">
      <c r="A18"/>
      <c r="B18" s="11"/>
      <c r="C18" s="34" t="s">
        <v>199</v>
      </c>
      <c r="D18" s="153">
        <f>IF(ModelType=3,'Design Data'!P55,'Design Data'!P32/D14)</f>
        <v>64</v>
      </c>
      <c r="E18" s="76" t="s">
        <v>198</v>
      </c>
      <c r="F18"/>
      <c r="G18"/>
      <c r="H18"/>
      <c r="I18"/>
      <c r="J18"/>
      <c r="K18"/>
      <c r="L18"/>
      <c r="M18" s="12"/>
    </row>
    <row r="19" spans="1:14" x14ac:dyDescent="0.25">
      <c r="A19"/>
      <c r="B19" s="11"/>
      <c r="C19" s="19" t="s">
        <v>200</v>
      </c>
      <c r="D19" s="52">
        <f>IF(ModelType=3,'Design Data'!P61,'Design Data'!P31/D14)</f>
        <v>64</v>
      </c>
      <c r="F19"/>
      <c r="G19"/>
      <c r="H19"/>
      <c r="I19"/>
      <c r="J19"/>
      <c r="K19"/>
      <c r="L19"/>
      <c r="M19" s="12"/>
    </row>
    <row r="20" spans="1:14" x14ac:dyDescent="0.25">
      <c r="A20"/>
      <c r="B20" s="11"/>
      <c r="C20" s="19" t="s">
        <v>56</v>
      </c>
      <c r="D20" s="50">
        <f>IF(ModelType=3,'Design Data'!P69,'Design Data'!P43)</f>
        <v>64</v>
      </c>
      <c r="E20"/>
      <c r="F20"/>
      <c r="G20"/>
      <c r="H20"/>
      <c r="I20"/>
      <c r="J20"/>
      <c r="K20"/>
      <c r="L20"/>
      <c r="M20" s="28"/>
    </row>
    <row r="21" spans="1:14" x14ac:dyDescent="0.25">
      <c r="A21"/>
      <c r="B21" s="11"/>
      <c r="C21" s="19" t="s">
        <v>208</v>
      </c>
      <c r="D21" s="50">
        <f>IF(ModelType=3,'Design Data'!P76,'Design Data'!P48)</f>
        <v>0</v>
      </c>
      <c r="E21" s="24"/>
      <c r="F21"/>
      <c r="G21"/>
      <c r="H21"/>
      <c r="I21"/>
      <c r="J21"/>
      <c r="K21"/>
      <c r="L21"/>
      <c r="M21" s="12"/>
    </row>
    <row r="22" spans="1:14" x14ac:dyDescent="0.25">
      <c r="A22"/>
      <c r="B22" s="11"/>
      <c r="C22"/>
      <c r="D22"/>
      <c r="E22" s="40"/>
      <c r="F22"/>
      <c r="G22" s="26">
        <f>'Design Data'!F20</f>
        <v>4</v>
      </c>
      <c r="H22" s="133" t="s">
        <v>129</v>
      </c>
      <c r="I22" s="1">
        <f>'Design Data'!C21</f>
        <v>4</v>
      </c>
      <c r="J22" t="s">
        <v>0</v>
      </c>
      <c r="L22"/>
      <c r="M22" s="12"/>
    </row>
    <row r="23" spans="1:14" x14ac:dyDescent="0.25">
      <c r="A23"/>
      <c r="B23" s="30"/>
      <c r="C23" s="19" t="s">
        <v>50</v>
      </c>
      <c r="D23" s="50">
        <f>'Design Data'!E13</f>
        <v>0</v>
      </c>
      <c r="E23"/>
      <c r="F23"/>
      <c r="G23"/>
      <c r="H23"/>
      <c r="I23"/>
      <c r="J23"/>
      <c r="K23"/>
      <c r="L23"/>
      <c r="M23" s="31"/>
    </row>
    <row r="24" spans="1:14" x14ac:dyDescent="0.25">
      <c r="A24"/>
      <c r="B24" s="11"/>
      <c r="C24" s="19" t="s">
        <v>44</v>
      </c>
      <c r="D24" s="51">
        <f>D20+D21</f>
        <v>64</v>
      </c>
      <c r="E24" s="202" t="e">
        <f>D24/D23</f>
        <v>#DIV/0!</v>
      </c>
      <c r="F24" t="s">
        <v>58</v>
      </c>
      <c r="G24"/>
      <c r="H24"/>
      <c r="I24"/>
      <c r="J24" s="1">
        <f>'Design Data'!C20</f>
        <v>4</v>
      </c>
      <c r="K24" t="s">
        <v>0</v>
      </c>
      <c r="L24"/>
      <c r="M24" s="12"/>
    </row>
    <row r="25" spans="1:14" x14ac:dyDescent="0.25">
      <c r="A25"/>
      <c r="B25" s="11"/>
      <c r="C25"/>
      <c r="D25"/>
      <c r="E25"/>
      <c r="F25"/>
      <c r="G25"/>
      <c r="H25"/>
      <c r="I25"/>
      <c r="J25"/>
      <c r="K25"/>
      <c r="L25"/>
      <c r="M25" s="12"/>
    </row>
    <row r="26" spans="1:14" x14ac:dyDescent="0.25">
      <c r="A26"/>
      <c r="B26" s="11"/>
      <c r="C26" s="19" t="s">
        <v>194</v>
      </c>
      <c r="D26" s="195">
        <f>IF(ModelType=3,"N/A",IF('Design Data'!C19&gt;0,D14*'Design Data'!G24-D27-D28-D29,IF(ModelType=2,"TBDL","ERROR")))</f>
        <v>2</v>
      </c>
      <c r="E26"/>
      <c r="F26"/>
      <c r="G26"/>
      <c r="H26"/>
      <c r="I26"/>
      <c r="J26"/>
      <c r="K26"/>
      <c r="L26"/>
      <c r="M26" s="12"/>
    </row>
    <row r="27" spans="1:14" x14ac:dyDescent="0.25">
      <c r="A27"/>
      <c r="B27" s="11"/>
      <c r="C27" s="34" t="s">
        <v>195</v>
      </c>
      <c r="D27" s="6">
        <f>IF(ModelType=3,"N/A",IF(ModelType=2,2*D14,(D14-2)*2))</f>
        <v>-2</v>
      </c>
      <c r="E27"/>
      <c r="F27"/>
      <c r="G27"/>
      <c r="H27"/>
      <c r="I27"/>
      <c r="J27"/>
      <c r="K27"/>
      <c r="L27"/>
      <c r="M27" s="12"/>
    </row>
    <row r="28" spans="1:14" x14ac:dyDescent="0.25">
      <c r="A28"/>
      <c r="B28" s="11"/>
      <c r="C28" s="2" t="s">
        <v>196</v>
      </c>
      <c r="D28" s="199">
        <f>IF(ModelType=3,"N/A",IF(ModelType=2,"N/A",IF(D14&gt;1,('Design Data'!G24-2)*2,('Design Data'!G24-2))))</f>
        <v>-1</v>
      </c>
      <c r="E28"/>
      <c r="F28"/>
      <c r="G28"/>
      <c r="H28"/>
      <c r="I28"/>
      <c r="J28"/>
      <c r="K28" s="32">
        <f>'Design Data'!F19</f>
        <v>0</v>
      </c>
      <c r="L28" s="133" t="s">
        <v>129</v>
      </c>
      <c r="M28" s="12"/>
    </row>
    <row r="29" spans="1:14" x14ac:dyDescent="0.25">
      <c r="A29"/>
      <c r="B29" s="11"/>
      <c r="C29" s="2" t="s">
        <v>197</v>
      </c>
      <c r="D29" s="5">
        <f>IF(ModelType=3,"N/A",IF(ModelType=2,"N/A",IF(D14&gt;1,4,2)))</f>
        <v>2</v>
      </c>
      <c r="E29"/>
      <c r="F29" s="201"/>
      <c r="G29"/>
      <c r="H29"/>
      <c r="I29"/>
      <c r="J29"/>
      <c r="K29"/>
      <c r="L29"/>
      <c r="M29" s="12"/>
    </row>
    <row r="30" spans="1:14" x14ac:dyDescent="0.25">
      <c r="A30"/>
      <c r="B30" s="11"/>
      <c r="C30" s="2" t="str">
        <f>IF(ModelType=2,"Total Feet","Total Chambers")&amp;":"</f>
        <v>Total Chambers:</v>
      </c>
      <c r="D30" s="204">
        <f>IF(ModelType=2,D14*D16,D14*'Design Data'!G24)</f>
        <v>1</v>
      </c>
      <c r="E30" s="203"/>
      <c r="F30" s="203"/>
      <c r="G30"/>
      <c r="H30"/>
      <c r="I30"/>
      <c r="J30"/>
      <c r="K30"/>
      <c r="L30"/>
      <c r="M30" s="23"/>
    </row>
    <row r="31" spans="1:14" x14ac:dyDescent="0.25">
      <c r="B31" s="11"/>
      <c r="C31" s="2" t="s">
        <v>246</v>
      </c>
      <c r="D31" s="204"/>
      <c r="E31" s="203"/>
      <c r="F31" s="203"/>
      <c r="M31" s="23"/>
    </row>
    <row r="32" spans="1:14" x14ac:dyDescent="0.25">
      <c r="A32"/>
      <c r="B32" s="246" t="s">
        <v>269</v>
      </c>
      <c r="C32" s="247"/>
      <c r="D32"/>
      <c r="E32"/>
      <c r="F32"/>
      <c r="G32"/>
      <c r="H32"/>
      <c r="I32"/>
      <c r="J32"/>
      <c r="K32"/>
      <c r="L32"/>
      <c r="M32" s="12"/>
    </row>
    <row r="33" spans="1:13" x14ac:dyDescent="0.25">
      <c r="A33"/>
      <c r="B33" s="11"/>
      <c r="C33" s="2" t="str">
        <f>IF(ModelType=2,"Linear Feet Cost:","Chamber Cost:")</f>
        <v>Chamber Cost:</v>
      </c>
      <c r="D33" s="212">
        <f>D30</f>
        <v>1</v>
      </c>
      <c r="E33" s="5" t="str">
        <f>IF(ModelType=2,"LF    @","units   @")</f>
        <v>units   @</v>
      </c>
      <c r="F33" s="213">
        <f>'Design Data'!H17</f>
        <v>0</v>
      </c>
      <c r="G33" s="214" t="str">
        <f>IF(ModelType=2," /LF  ="," /ea  =")</f>
        <v xml:space="preserve"> /ea  =</v>
      </c>
      <c r="H33" s="249">
        <f>D33*F33</f>
        <v>0</v>
      </c>
      <c r="I33" s="249"/>
      <c r="J33"/>
      <c r="K33"/>
      <c r="L33"/>
      <c r="M33" s="12"/>
    </row>
    <row r="34" spans="1:13" x14ac:dyDescent="0.25">
      <c r="A34"/>
      <c r="B34" s="11"/>
      <c r="C34" s="19" t="s">
        <v>202</v>
      </c>
      <c r="D34" s="206">
        <f>IF(ModelType=3,'Design Data'!P75,'Design Data'!P46)/27</f>
        <v>0.15802469135802469</v>
      </c>
      <c r="E34" s="6" t="s">
        <v>205</v>
      </c>
      <c r="F34" s="207">
        <f>'Design Data'!L22</f>
        <v>0</v>
      </c>
      <c r="G34" s="208" t="s">
        <v>203</v>
      </c>
      <c r="H34" s="250">
        <f>D34*F34</f>
        <v>0</v>
      </c>
      <c r="I34" s="250"/>
      <c r="J34"/>
      <c r="K34"/>
      <c r="L34" s="76"/>
      <c r="M34" s="190"/>
    </row>
    <row r="35" spans="1:13" x14ac:dyDescent="0.25">
      <c r="A35"/>
      <c r="B35" s="11"/>
      <c r="C35" s="25" t="s">
        <v>201</v>
      </c>
      <c r="D35" s="206">
        <f>'Design Data'!I32*'Design Data'!K27*('Design Data'!G26-'Design Data'!G36)/27</f>
        <v>3.7640603566529505</v>
      </c>
      <c r="E35" s="209" t="s">
        <v>204</v>
      </c>
      <c r="F35" s="210">
        <f>'Design Data'!L21</f>
        <v>0</v>
      </c>
      <c r="G35" s="211" t="s">
        <v>203</v>
      </c>
      <c r="H35" s="250">
        <f>D35*F35</f>
        <v>0</v>
      </c>
      <c r="I35" s="250"/>
      <c r="J35"/>
      <c r="K35"/>
      <c r="L35" s="76"/>
      <c r="M35" s="191"/>
    </row>
    <row r="36" spans="1:13" ht="15.75" thickBot="1" x14ac:dyDescent="0.3">
      <c r="A36"/>
      <c r="B36" s="13"/>
      <c r="C36" s="41"/>
      <c r="D36" s="14"/>
      <c r="E36" s="14"/>
      <c r="F36" s="42"/>
      <c r="G36" s="205" t="s">
        <v>206</v>
      </c>
      <c r="H36" s="251">
        <f>SUM(H33:I35)</f>
        <v>0</v>
      </c>
      <c r="I36" s="251"/>
      <c r="J36" s="41"/>
      <c r="K36" s="14"/>
      <c r="L36" s="14"/>
      <c r="M36" s="15"/>
    </row>
    <row r="37" spans="1:13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43" spans="1:13" x14ac:dyDescent="0.25">
      <c r="E43" s="1"/>
    </row>
    <row r="44" spans="1:13" x14ac:dyDescent="0.25">
      <c r="J44" s="1"/>
    </row>
    <row r="47" spans="1:13" x14ac:dyDescent="0.25">
      <c r="I47" s="224"/>
    </row>
    <row r="49" spans="5:12" x14ac:dyDescent="0.25">
      <c r="E49" s="1"/>
      <c r="L49" s="223"/>
    </row>
    <row r="51" spans="5:12" x14ac:dyDescent="0.25">
      <c r="I51" s="1"/>
    </row>
    <row r="54" spans="5:12" x14ac:dyDescent="0.25">
      <c r="E54" s="224"/>
    </row>
    <row r="56" spans="5:12" x14ac:dyDescent="0.25">
      <c r="G56" s="223"/>
    </row>
    <row r="59" spans="5:12" x14ac:dyDescent="0.25">
      <c r="E59" s="1"/>
    </row>
  </sheetData>
  <mergeCells count="11">
    <mergeCell ref="H33:I33"/>
    <mergeCell ref="H34:I34"/>
    <mergeCell ref="H35:I35"/>
    <mergeCell ref="H36:I36"/>
    <mergeCell ref="F8:I8"/>
    <mergeCell ref="L8:M8"/>
    <mergeCell ref="C10:D10"/>
    <mergeCell ref="F10:I10"/>
    <mergeCell ref="L10:M10"/>
    <mergeCell ref="B32:C32"/>
    <mergeCell ref="D12:H12"/>
  </mergeCells>
  <conditionalFormatting sqref="D24">
    <cfRule type="expression" dxfId="7" priority="12">
      <formula>IF($D$24/$D$23&gt;=1,TRUE,FALSE)</formula>
    </cfRule>
  </conditionalFormatting>
  <conditionalFormatting sqref="D12">
    <cfRule type="expression" dxfId="6" priority="2" stopIfTrue="1">
      <formula>IF(ModelType=3,TRUE,FALSE)</formula>
    </cfRule>
  </conditionalFormatting>
  <conditionalFormatting sqref="B14:M36">
    <cfRule type="expression" dxfId="5" priority="1">
      <formula>IF(ModelType=3,TRUE,FALSE)</formula>
    </cfRule>
  </conditionalFormatting>
  <pageMargins left="0.5" right="0.5" top="0.5" bottom="0.5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M58"/>
  <sheetViews>
    <sheetView showGridLines="0" showRowColHeaders="0" zoomScale="90" zoomScaleNormal="90" workbookViewId="0">
      <selection activeCell="I7" sqref="I7"/>
    </sheetView>
  </sheetViews>
  <sheetFormatPr defaultRowHeight="15" x14ac:dyDescent="0.25"/>
  <cols>
    <col min="1" max="1" width="2.140625" style="133" customWidth="1"/>
    <col min="2" max="2" width="11.140625" style="133" customWidth="1"/>
    <col min="3" max="3" width="12.42578125" style="133" customWidth="1"/>
    <col min="4" max="4" width="10.5703125" style="133" customWidth="1"/>
    <col min="5" max="5" width="11.42578125" style="133" customWidth="1"/>
    <col min="6" max="6" width="10.28515625" style="133" customWidth="1"/>
    <col min="7" max="7" width="9.140625" style="133" customWidth="1"/>
    <col min="8" max="8" width="11.5703125" style="133" bestFit="1" customWidth="1"/>
    <col min="9" max="9" width="9.140625" style="133"/>
    <col min="10" max="10" width="9.140625" style="133" customWidth="1"/>
    <col min="11" max="12" width="9.140625" style="133"/>
    <col min="13" max="13" width="9.140625" style="133" customWidth="1"/>
    <col min="14" max="16384" width="9.140625" style="133"/>
  </cols>
  <sheetData>
    <row r="1" spans="2:13" ht="15.75" thickBot="1" x14ac:dyDescent="0.3">
      <c r="G1" s="14"/>
      <c r="H1" s="14"/>
    </row>
    <row r="2" spans="2:13" x14ac:dyDescent="0.25">
      <c r="B2" s="8"/>
      <c r="C2" s="9"/>
      <c r="D2" s="9"/>
      <c r="E2" s="9"/>
      <c r="F2" s="9"/>
      <c r="G2" s="76"/>
      <c r="I2" s="9"/>
      <c r="J2" s="9"/>
      <c r="K2" s="9"/>
      <c r="L2" s="9"/>
      <c r="M2" s="10"/>
    </row>
    <row r="3" spans="2:13" ht="15" customHeight="1" x14ac:dyDescent="0.3">
      <c r="B3" s="11"/>
      <c r="C3" s="76"/>
      <c r="D3" s="76"/>
      <c r="E3" s="76"/>
      <c r="F3" s="76"/>
      <c r="G3" s="38" t="s">
        <v>30</v>
      </c>
      <c r="I3" s="76"/>
      <c r="J3" s="76"/>
      <c r="K3" s="76"/>
      <c r="L3" s="76"/>
      <c r="M3" s="83"/>
    </row>
    <row r="4" spans="2:13" x14ac:dyDescent="0.25">
      <c r="B4" s="11"/>
      <c r="C4" s="76"/>
      <c r="D4" s="76"/>
      <c r="E4" s="76"/>
      <c r="F4" s="76"/>
      <c r="G4" s="221" t="s">
        <v>31</v>
      </c>
      <c r="H4" s="76"/>
      <c r="I4" s="76"/>
      <c r="J4" s="76"/>
      <c r="K4" s="76"/>
      <c r="L4" s="76"/>
      <c r="M4" s="83"/>
    </row>
    <row r="5" spans="2:13" ht="15" customHeight="1" x14ac:dyDescent="0.25">
      <c r="B5" s="11"/>
      <c r="C5" s="76"/>
      <c r="D5" s="76"/>
      <c r="E5" s="76"/>
      <c r="F5" s="76"/>
      <c r="G5" s="76"/>
      <c r="H5" s="76"/>
      <c r="I5" s="76"/>
      <c r="J5" s="76"/>
      <c r="K5" s="76"/>
      <c r="L5" s="76"/>
      <c r="M5" s="83"/>
    </row>
    <row r="6" spans="2:13" x14ac:dyDescent="0.25">
      <c r="B6" s="11"/>
      <c r="C6" s="76"/>
      <c r="D6" s="76"/>
      <c r="E6" s="76"/>
      <c r="F6" s="76"/>
      <c r="G6" s="76"/>
      <c r="H6" s="76"/>
      <c r="I6" s="76" t="s">
        <v>270</v>
      </c>
      <c r="J6" s="76"/>
      <c r="K6" s="76"/>
      <c r="L6" s="76"/>
      <c r="M6" s="83"/>
    </row>
    <row r="7" spans="2:13" x14ac:dyDescent="0.25">
      <c r="B7" s="20" t="s">
        <v>32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</row>
    <row r="8" spans="2:13" x14ac:dyDescent="0.25">
      <c r="B8" s="21" t="s">
        <v>18</v>
      </c>
      <c r="C8" s="132" t="str">
        <f>IF('Design Data'!C8=0,"",'Design Data'!C8)</f>
        <v/>
      </c>
      <c r="D8" s="76"/>
      <c r="E8" s="19" t="s">
        <v>24</v>
      </c>
      <c r="F8" s="241" t="str">
        <f>IF('Design Data'!F8=0,"",'Design Data'!F8)</f>
        <v/>
      </c>
      <c r="G8" s="241"/>
      <c r="H8" s="241"/>
      <c r="I8" s="241"/>
      <c r="J8" s="76"/>
      <c r="K8" s="19" t="s">
        <v>19</v>
      </c>
      <c r="L8" s="241" t="str">
        <f>IF('Design Data'!L8=0,"",'Design Data'!L8)</f>
        <v/>
      </c>
      <c r="M8" s="242"/>
    </row>
    <row r="9" spans="2:13" x14ac:dyDescent="0.25">
      <c r="B9" s="21"/>
      <c r="C9" s="76"/>
      <c r="D9" s="76"/>
      <c r="E9" s="76"/>
      <c r="F9" s="145"/>
      <c r="G9" s="145"/>
      <c r="H9" s="145"/>
      <c r="I9" s="145"/>
      <c r="J9" s="76"/>
      <c r="K9" s="76"/>
      <c r="L9" s="145"/>
      <c r="M9" s="192"/>
    </row>
    <row r="10" spans="2:13" x14ac:dyDescent="0.25">
      <c r="B10" s="21" t="s">
        <v>52</v>
      </c>
      <c r="C10" s="243" t="str">
        <f>IF('Design Data'!C10=0,"",'Design Data'!C10)</f>
        <v/>
      </c>
      <c r="D10" s="243"/>
      <c r="E10" s="19" t="s">
        <v>53</v>
      </c>
      <c r="F10" s="244" t="str">
        <f>IF('Design Data'!F10=0,"",'Design Data'!F10)</f>
        <v/>
      </c>
      <c r="G10" s="244"/>
      <c r="H10" s="244"/>
      <c r="I10" s="244"/>
      <c r="J10" s="76"/>
      <c r="K10" s="19" t="s">
        <v>17</v>
      </c>
      <c r="L10" s="244" t="str">
        <f>IF('Design Data'!L10=0,"",'Design Data'!L10)</f>
        <v/>
      </c>
      <c r="M10" s="245"/>
    </row>
    <row r="11" spans="2:13" x14ac:dyDescent="0.25">
      <c r="B11" s="11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83"/>
    </row>
    <row r="12" spans="2:13" x14ac:dyDescent="0.25">
      <c r="B12" s="20" t="s">
        <v>39</v>
      </c>
      <c r="C12" s="17"/>
      <c r="D12" s="248" t="str">
        <f>IF(ModelType=3,"Round/Cylinder Chamber","REFER TO SUMMARY TAB FOR ''SQUARE CHAMBERS''")</f>
        <v>REFER TO SUMMARY TAB FOR ''SQUARE CHAMBERS''</v>
      </c>
      <c r="E12" s="248"/>
      <c r="F12" s="248"/>
      <c r="G12" s="248"/>
      <c r="H12" s="248"/>
      <c r="I12" s="17"/>
      <c r="J12" s="17"/>
      <c r="K12" s="17"/>
      <c r="L12" s="17"/>
      <c r="M12" s="18"/>
    </row>
    <row r="13" spans="2:13" x14ac:dyDescent="0.25">
      <c r="B13" s="11"/>
      <c r="C13" s="19"/>
      <c r="D13" s="46"/>
      <c r="E13" s="76"/>
      <c r="F13" s="76"/>
      <c r="G13" s="76"/>
      <c r="H13" s="76"/>
      <c r="I13" s="19"/>
      <c r="J13" s="33" t="s">
        <v>40</v>
      </c>
      <c r="K13" s="76"/>
      <c r="L13" s="76"/>
      <c r="M13" s="83"/>
    </row>
    <row r="14" spans="2:13" x14ac:dyDescent="0.25">
      <c r="B14" s="11"/>
      <c r="C14" s="35" t="s">
        <v>41</v>
      </c>
      <c r="D14" s="5">
        <f>TotalRows</f>
        <v>1</v>
      </c>
      <c r="E14" s="221"/>
      <c r="G14" s="221"/>
      <c r="H14" s="76"/>
      <c r="I14" s="19"/>
      <c r="J14" s="27"/>
      <c r="K14" s="76"/>
      <c r="L14" s="76"/>
      <c r="M14" s="83"/>
    </row>
    <row r="15" spans="2:13" x14ac:dyDescent="0.25">
      <c r="B15" s="21"/>
      <c r="C15" s="2" t="s">
        <v>193</v>
      </c>
      <c r="D15" s="48">
        <f>'Design Data'!G24</f>
        <v>1</v>
      </c>
      <c r="E15" s="40"/>
      <c r="H15" s="76"/>
      <c r="I15" s="76"/>
      <c r="J15" s="76"/>
      <c r="K15" s="76"/>
      <c r="L15" s="76"/>
      <c r="M15" s="83"/>
    </row>
    <row r="16" spans="2:13" x14ac:dyDescent="0.25">
      <c r="B16" s="11"/>
      <c r="C16" s="2" t="s">
        <v>57</v>
      </c>
      <c r="D16" s="45">
        <f>IF(ModelType=2,'Design Data'!P39+'Design Data'!F22/6,(D15-2)*ModelCenterLength+2*ModelEndLength+(D15-1)*'Design Data'!L18/12)</f>
        <v>4.666666666666667</v>
      </c>
      <c r="E16" s="154" t="s">
        <v>117</v>
      </c>
      <c r="H16" s="49"/>
      <c r="J16" s="29"/>
      <c r="M16" s="83"/>
    </row>
    <row r="17" spans="2:13" x14ac:dyDescent="0.25">
      <c r="B17" s="11"/>
      <c r="G17" s="76"/>
      <c r="H17" s="221"/>
      <c r="I17" s="76"/>
      <c r="K17" s="1">
        <f>K34+L30/6</f>
        <v>4.666666666666667</v>
      </c>
      <c r="L17" s="133" t="s">
        <v>0</v>
      </c>
      <c r="M17" s="83"/>
    </row>
    <row r="18" spans="2:13" x14ac:dyDescent="0.25">
      <c r="B18" s="11"/>
      <c r="C18" s="34" t="s">
        <v>199</v>
      </c>
      <c r="D18" s="153">
        <f>IF(ModelType=3,'Design Data'!P55,'Design Data'!P32/D14)</f>
        <v>64</v>
      </c>
      <c r="E18" s="76" t="s">
        <v>198</v>
      </c>
      <c r="K18"/>
      <c r="L18"/>
      <c r="M18" s="83"/>
    </row>
    <row r="19" spans="2:13" x14ac:dyDescent="0.25">
      <c r="B19" s="11"/>
      <c r="C19" s="19" t="s">
        <v>200</v>
      </c>
      <c r="D19" s="52">
        <f>IF(ModelType=3,'Design Data'!P61,'Design Data'!P31/D14)</f>
        <v>64</v>
      </c>
      <c r="K19"/>
      <c r="L19"/>
      <c r="M19" s="83"/>
    </row>
    <row r="20" spans="2:13" x14ac:dyDescent="0.25">
      <c r="B20" s="11"/>
      <c r="C20" s="19" t="s">
        <v>56</v>
      </c>
      <c r="D20" s="50">
        <f>IF(ModelType=3,'Design Data'!P69,'Design Data'!P43)</f>
        <v>64</v>
      </c>
      <c r="K20"/>
      <c r="L20"/>
      <c r="M20" s="83"/>
    </row>
    <row r="21" spans="2:13" x14ac:dyDescent="0.25">
      <c r="B21" s="11"/>
      <c r="C21" s="19" t="s">
        <v>208</v>
      </c>
      <c r="D21" s="50">
        <f>IF(ModelType=3,'Design Data'!P76,'Design Data'!P48)</f>
        <v>0</v>
      </c>
      <c r="E21" s="76"/>
      <c r="K21"/>
      <c r="L21"/>
      <c r="M21" s="83"/>
    </row>
    <row r="22" spans="2:13" x14ac:dyDescent="0.25">
      <c r="B22" s="11"/>
      <c r="E22" s="40"/>
      <c r="G22" s="26"/>
      <c r="J22" s="1"/>
      <c r="K22"/>
      <c r="L22"/>
      <c r="M22" s="83"/>
    </row>
    <row r="23" spans="2:13" x14ac:dyDescent="0.25">
      <c r="B23" s="30"/>
      <c r="C23" s="19" t="s">
        <v>50</v>
      </c>
      <c r="D23" s="50">
        <f>'Design Data'!E13</f>
        <v>0</v>
      </c>
      <c r="M23" s="83"/>
    </row>
    <row r="24" spans="2:13" x14ac:dyDescent="0.25">
      <c r="B24" s="11"/>
      <c r="C24" s="19" t="s">
        <v>44</v>
      </c>
      <c r="D24" s="51">
        <f>D20+D21</f>
        <v>64</v>
      </c>
      <c r="E24" s="202" t="e">
        <f>D24/D23</f>
        <v>#DIV/0!</v>
      </c>
      <c r="F24" s="133" t="s">
        <v>58</v>
      </c>
      <c r="J24" s="1"/>
      <c r="K24"/>
      <c r="L24" s="1">
        <f>'Design Data'!$C$22</f>
        <v>8</v>
      </c>
      <c r="M24" s="83" t="s">
        <v>129</v>
      </c>
    </row>
    <row r="25" spans="2:13" x14ac:dyDescent="0.25">
      <c r="B25" s="11"/>
      <c r="K25"/>
      <c r="L25"/>
      <c r="M25" s="83"/>
    </row>
    <row r="26" spans="2:13" x14ac:dyDescent="0.25">
      <c r="B26" s="11"/>
      <c r="C26" s="19" t="s">
        <v>194</v>
      </c>
      <c r="D26" s="195">
        <f>IF(ModelType=3,"N/A",IF('Design Data'!C19&gt;0,D14*D15-D27-D28-D29,IF(ModelType=2,"TBDL","ERROR")))</f>
        <v>2</v>
      </c>
      <c r="K26"/>
      <c r="L26"/>
      <c r="M26" s="83"/>
    </row>
    <row r="27" spans="2:13" x14ac:dyDescent="0.25">
      <c r="B27" s="11"/>
      <c r="C27" s="34" t="s">
        <v>195</v>
      </c>
      <c r="D27" s="6">
        <f>IF(ModelType=3,"N/A",IF(ModelType=2,2*D14,(D14-2)*2))</f>
        <v>-2</v>
      </c>
      <c r="K27"/>
      <c r="L27"/>
      <c r="M27" s="83"/>
    </row>
    <row r="28" spans="2:13" x14ac:dyDescent="0.25">
      <c r="B28" s="11"/>
      <c r="C28" s="2" t="s">
        <v>196</v>
      </c>
      <c r="D28" s="199">
        <f>IF(ModelType=3,"N/A",IF(ModelType=2,"N/A",IF(D14&gt;1,(D15-2)*2,(D15-2))))</f>
        <v>-1</v>
      </c>
      <c r="L28"/>
      <c r="M28" s="83"/>
    </row>
    <row r="29" spans="2:13" x14ac:dyDescent="0.25">
      <c r="B29" s="11"/>
      <c r="C29" s="2" t="s">
        <v>197</v>
      </c>
      <c r="D29" s="5">
        <f>IF(ModelType=3,"N/A",IF(ModelType=2,"N/A",IF(D14&gt;1,4,2)))</f>
        <v>2</v>
      </c>
      <c r="F29" s="222"/>
      <c r="K29" s="224">
        <f>'Design Data'!$C$21</f>
        <v>4</v>
      </c>
      <c r="L29"/>
      <c r="M29" s="83"/>
    </row>
    <row r="30" spans="2:13" x14ac:dyDescent="0.25">
      <c r="B30" s="11"/>
      <c r="C30" s="2" t="str">
        <f>IF(ModelType=2,"Total Feet","Total Chambers")&amp;":"</f>
        <v>Total Chambers:</v>
      </c>
      <c r="D30" s="204">
        <f>IF(ModelType=2,D14*D16,D14*D15)</f>
        <v>1</v>
      </c>
      <c r="E30" s="203"/>
      <c r="F30" s="203"/>
      <c r="K30" s="133" t="s">
        <v>0</v>
      </c>
      <c r="L30" s="223">
        <f>'Design Data'!$F$20</f>
        <v>4</v>
      </c>
      <c r="M30" s="83"/>
    </row>
    <row r="31" spans="2:13" x14ac:dyDescent="0.25">
      <c r="B31" s="246" t="s">
        <v>269</v>
      </c>
      <c r="C31" s="247"/>
      <c r="K31"/>
      <c r="L31" s="133" t="s">
        <v>129</v>
      </c>
      <c r="M31" s="83"/>
    </row>
    <row r="32" spans="2:13" x14ac:dyDescent="0.25">
      <c r="B32" s="11"/>
      <c r="C32" s="2" t="str">
        <f>IF(ModelType=2,"Linear Feet Cost:","Chamber Cost:")</f>
        <v>Chamber Cost:</v>
      </c>
      <c r="D32" s="212">
        <f>D30</f>
        <v>1</v>
      </c>
      <c r="E32" s="5" t="str">
        <f>IF(ModelType=2,"LF    @","units   @")</f>
        <v>units   @</v>
      </c>
      <c r="F32" s="213">
        <f>'Design Data'!H17</f>
        <v>0</v>
      </c>
      <c r="G32" s="214" t="str">
        <f>IF(ModelType=2," /LF  ="," /ea  =")</f>
        <v xml:space="preserve"> /ea  =</v>
      </c>
      <c r="H32" s="249">
        <f>D32*F32</f>
        <v>0</v>
      </c>
      <c r="I32" s="249"/>
      <c r="M32" s="83"/>
    </row>
    <row r="33" spans="2:13" x14ac:dyDescent="0.25">
      <c r="B33" s="11"/>
      <c r="C33" s="19" t="s">
        <v>202</v>
      </c>
      <c r="D33" s="206">
        <f>IF(ModelType=3,'Design Data'!P75,'Design Data'!P46)/27</f>
        <v>0.15802469135802469</v>
      </c>
      <c r="E33" s="6" t="s">
        <v>205</v>
      </c>
      <c r="F33" s="207">
        <f>'Design Data'!L22</f>
        <v>0</v>
      </c>
      <c r="G33" s="208" t="s">
        <v>203</v>
      </c>
      <c r="H33" s="250">
        <f>D33*F33</f>
        <v>0</v>
      </c>
      <c r="I33" s="250"/>
      <c r="K33"/>
      <c r="L33"/>
      <c r="M33" s="83"/>
    </row>
    <row r="34" spans="2:13" x14ac:dyDescent="0.25">
      <c r="B34" s="11"/>
      <c r="C34" s="25" t="s">
        <v>201</v>
      </c>
      <c r="D34" s="206">
        <f>'Design Data'!I32*'Design Data'!K27*('Design Data'!G26-'Design Data'!G36)/27</f>
        <v>3.7640603566529505</v>
      </c>
      <c r="E34" s="209" t="s">
        <v>204</v>
      </c>
      <c r="F34" s="210">
        <f>'Design Data'!L21</f>
        <v>0</v>
      </c>
      <c r="G34" s="211" t="s">
        <v>203</v>
      </c>
      <c r="H34" s="250">
        <f>D34*F34</f>
        <v>0</v>
      </c>
      <c r="I34" s="250"/>
      <c r="K34" s="1">
        <f>'Design Data'!$C$20</f>
        <v>4</v>
      </c>
      <c r="L34" s="133" t="s">
        <v>0</v>
      </c>
      <c r="M34" s="83"/>
    </row>
    <row r="35" spans="2:13" ht="15.75" thickBot="1" x14ac:dyDescent="0.3">
      <c r="B35" s="13"/>
      <c r="C35" s="41"/>
      <c r="D35" s="14"/>
      <c r="E35" s="14"/>
      <c r="F35" s="42"/>
      <c r="G35" s="205" t="s">
        <v>206</v>
      </c>
      <c r="H35" s="251">
        <f>SUM(H32:I34)</f>
        <v>0</v>
      </c>
      <c r="I35" s="251"/>
      <c r="J35" s="41"/>
      <c r="K35" s="14"/>
      <c r="L35" s="14"/>
      <c r="M35" s="15"/>
    </row>
    <row r="38" spans="2:13" x14ac:dyDescent="0.25">
      <c r="D38"/>
      <c r="E38"/>
      <c r="F38"/>
      <c r="G38"/>
    </row>
    <row r="39" spans="2:13" x14ac:dyDescent="0.25">
      <c r="D39"/>
      <c r="E39"/>
      <c r="F39"/>
      <c r="G39"/>
    </row>
    <row r="40" spans="2:13" x14ac:dyDescent="0.25">
      <c r="D40"/>
      <c r="E40"/>
      <c r="F40"/>
      <c r="G40"/>
    </row>
    <row r="41" spans="2:13" x14ac:dyDescent="0.25">
      <c r="D41"/>
      <c r="E41"/>
      <c r="F41"/>
      <c r="G41"/>
    </row>
    <row r="42" spans="2:13" x14ac:dyDescent="0.25">
      <c r="D42"/>
    </row>
    <row r="43" spans="2:13" x14ac:dyDescent="0.25">
      <c r="D43"/>
      <c r="J43" s="1"/>
    </row>
    <row r="44" spans="2:13" x14ac:dyDescent="0.25">
      <c r="D44"/>
    </row>
    <row r="45" spans="2:13" x14ac:dyDescent="0.25">
      <c r="D45"/>
    </row>
    <row r="46" spans="2:13" x14ac:dyDescent="0.25">
      <c r="D46"/>
      <c r="I46" s="224"/>
    </row>
    <row r="47" spans="2:13" x14ac:dyDescent="0.25">
      <c r="D47"/>
    </row>
    <row r="48" spans="2:13" x14ac:dyDescent="0.25">
      <c r="D48"/>
      <c r="L48" s="223"/>
    </row>
    <row r="49" spans="4:9" x14ac:dyDescent="0.25">
      <c r="D49"/>
    </row>
    <row r="50" spans="4:9" x14ac:dyDescent="0.25">
      <c r="D50"/>
      <c r="I50" s="1"/>
    </row>
    <row r="51" spans="4:9" x14ac:dyDescent="0.25">
      <c r="D51"/>
    </row>
    <row r="52" spans="4:9" x14ac:dyDescent="0.25">
      <c r="D52"/>
    </row>
    <row r="53" spans="4:9" x14ac:dyDescent="0.25">
      <c r="D53"/>
    </row>
    <row r="54" spans="4:9" x14ac:dyDescent="0.25">
      <c r="D54"/>
    </row>
    <row r="55" spans="4:9" x14ac:dyDescent="0.25">
      <c r="D55"/>
    </row>
    <row r="56" spans="4:9" x14ac:dyDescent="0.25">
      <c r="D56"/>
    </row>
    <row r="57" spans="4:9" x14ac:dyDescent="0.25">
      <c r="D57"/>
    </row>
    <row r="58" spans="4:9" x14ac:dyDescent="0.25">
      <c r="D58"/>
    </row>
  </sheetData>
  <mergeCells count="11">
    <mergeCell ref="H32:I32"/>
    <mergeCell ref="H33:I33"/>
    <mergeCell ref="H34:I34"/>
    <mergeCell ref="H35:I35"/>
    <mergeCell ref="F8:I8"/>
    <mergeCell ref="L8:M8"/>
    <mergeCell ref="C10:D10"/>
    <mergeCell ref="F10:I10"/>
    <mergeCell ref="L10:M10"/>
    <mergeCell ref="B31:C31"/>
    <mergeCell ref="D12:H12"/>
  </mergeCells>
  <conditionalFormatting sqref="D24">
    <cfRule type="expression" dxfId="4" priority="6">
      <formula>IF($D$24/$D$23&gt;=1,TRUE,FALSE)</formula>
    </cfRule>
  </conditionalFormatting>
  <conditionalFormatting sqref="D12">
    <cfRule type="expression" dxfId="3" priority="3" stopIfTrue="1">
      <formula>IF(ModelType&lt;&gt;3,TRUE,FALSE)</formula>
    </cfRule>
  </conditionalFormatting>
  <conditionalFormatting sqref="B14:M35">
    <cfRule type="expression" dxfId="2" priority="1">
      <formula>IF(ModelType&lt;&gt;3,TRUE,FALSE)</formula>
    </cfRule>
  </conditionalFormatting>
  <pageMargins left="0.5" right="0.5" top="0.5" bottom="0.5" header="0.5" footer="0.5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pageSetUpPr fitToPage="1"/>
  </sheetPr>
  <dimension ref="A1:V65"/>
  <sheetViews>
    <sheetView showGridLines="0" showRowColHeaders="0" zoomScale="90" zoomScaleNormal="90" workbookViewId="0">
      <pane ySplit="8" topLeftCell="A9" activePane="bottomLeft" state="frozen"/>
      <selection pane="bottomLeft" activeCell="O42" sqref="O42"/>
    </sheetView>
  </sheetViews>
  <sheetFormatPr defaultRowHeight="15" x14ac:dyDescent="0.25"/>
  <cols>
    <col min="1" max="1" width="1.7109375" style="133" customWidth="1"/>
    <col min="2" max="2" width="20.7109375" customWidth="1"/>
    <col min="3" max="3" width="16.5703125" customWidth="1"/>
    <col min="4" max="4" width="10.5703125" customWidth="1"/>
    <col min="6" max="6" width="7" customWidth="1"/>
    <col min="7" max="8" width="9.140625" style="3"/>
    <col min="9" max="9" width="4.140625" style="3" customWidth="1"/>
    <col min="11" max="11" width="5" customWidth="1"/>
    <col min="13" max="13" width="5.42578125" customWidth="1"/>
    <col min="15" max="15" width="4.140625" customWidth="1"/>
    <col min="16" max="16" width="11.85546875" customWidth="1"/>
    <col min="17" max="17" width="11.28515625" style="110" hidden="1" customWidth="1"/>
    <col min="18" max="18" width="11.42578125" hidden="1" customWidth="1"/>
  </cols>
  <sheetData>
    <row r="1" spans="2:22" ht="23.25" x14ac:dyDescent="0.35">
      <c r="B1" s="120"/>
      <c r="C1" s="120"/>
      <c r="F1" s="53" t="s">
        <v>47</v>
      </c>
    </row>
    <row r="2" spans="2:22" ht="27" customHeight="1" x14ac:dyDescent="0.35">
      <c r="C2" s="136"/>
      <c r="D2" s="65" t="s">
        <v>26</v>
      </c>
    </row>
    <row r="3" spans="2:22" ht="24.75" customHeight="1" thickBot="1" x14ac:dyDescent="0.3">
      <c r="C3" s="7"/>
      <c r="E3" s="7"/>
      <c r="J3" s="133" t="s">
        <v>270</v>
      </c>
    </row>
    <row r="4" spans="2:22" x14ac:dyDescent="0.25">
      <c r="B4" s="66" t="s">
        <v>18</v>
      </c>
      <c r="C4" s="254" t="str">
        <f>IF('Design Data'!C8=0,"",'Design Data'!C8)</f>
        <v/>
      </c>
      <c r="D4" s="254"/>
      <c r="E4" s="255"/>
      <c r="F4" s="9"/>
      <c r="G4" s="54"/>
      <c r="H4" s="67"/>
      <c r="I4" s="67"/>
      <c r="J4" s="67" t="s">
        <v>1</v>
      </c>
      <c r="K4" s="67"/>
      <c r="L4" s="67" t="s">
        <v>71</v>
      </c>
      <c r="M4" s="67"/>
      <c r="N4" s="67" t="s">
        <v>80</v>
      </c>
      <c r="O4" s="68"/>
      <c r="P4" s="62"/>
      <c r="Q4" s="111"/>
      <c r="R4" s="62"/>
    </row>
    <row r="5" spans="2:22" x14ac:dyDescent="0.25">
      <c r="B5" s="21" t="s">
        <v>24</v>
      </c>
      <c r="C5" s="256" t="str">
        <f>IF('Design Data'!F8=0,"",'Design Data'!F8)</f>
        <v/>
      </c>
      <c r="D5" s="256"/>
      <c r="E5" s="253"/>
      <c r="F5" s="7"/>
      <c r="G5" s="16"/>
      <c r="H5" s="69"/>
      <c r="I5" s="69"/>
      <c r="J5" s="69" t="s">
        <v>25</v>
      </c>
      <c r="K5" s="69"/>
      <c r="L5" s="69" t="s">
        <v>25</v>
      </c>
      <c r="M5" s="69"/>
      <c r="N5" s="69" t="s">
        <v>25</v>
      </c>
      <c r="O5" s="70"/>
      <c r="P5" s="62"/>
      <c r="Q5" s="111" t="s">
        <v>82</v>
      </c>
      <c r="R5" s="62" t="s">
        <v>83</v>
      </c>
    </row>
    <row r="6" spans="2:22" x14ac:dyDescent="0.25">
      <c r="B6" s="21" t="s">
        <v>21</v>
      </c>
      <c r="C6" s="252" t="str">
        <f>IF('Design Data'!C10=0,"",'Design Data'!C10)</f>
        <v/>
      </c>
      <c r="D6" s="252"/>
      <c r="E6" s="253"/>
      <c r="F6" s="7"/>
      <c r="G6" s="16"/>
      <c r="H6" s="69" t="s">
        <v>22</v>
      </c>
      <c r="I6" s="69"/>
      <c r="J6" s="69" t="s">
        <v>23</v>
      </c>
      <c r="K6" s="69"/>
      <c r="L6" s="69" t="s">
        <v>23</v>
      </c>
      <c r="M6" s="69"/>
      <c r="N6" s="69" t="s">
        <v>23</v>
      </c>
      <c r="O6" s="70"/>
      <c r="P6" s="62"/>
      <c r="Q6" s="111"/>
      <c r="R6" s="62"/>
      <c r="S6" s="118"/>
      <c r="T6" s="118"/>
      <c r="U6" s="118"/>
      <c r="V6" s="118"/>
    </row>
    <row r="7" spans="2:22" x14ac:dyDescent="0.25">
      <c r="B7" s="21" t="s">
        <v>84</v>
      </c>
      <c r="C7" s="252" t="str">
        <f>IF('Design Data'!F10=0,"",'Design Data'!F10)</f>
        <v/>
      </c>
      <c r="D7" s="252"/>
      <c r="E7" s="253"/>
      <c r="F7" s="7"/>
      <c r="G7" s="16"/>
      <c r="H7" s="63" t="s">
        <v>20</v>
      </c>
      <c r="I7" s="69"/>
      <c r="J7" s="63" t="s">
        <v>14</v>
      </c>
      <c r="K7" s="69"/>
      <c r="L7" s="63" t="s">
        <v>14</v>
      </c>
      <c r="M7" s="69"/>
      <c r="N7" s="63" t="s">
        <v>14</v>
      </c>
      <c r="O7" s="70"/>
      <c r="P7" s="62"/>
      <c r="Q7" s="111"/>
      <c r="R7" s="62"/>
    </row>
    <row r="8" spans="2:22" x14ac:dyDescent="0.25">
      <c r="B8" s="21" t="s">
        <v>19</v>
      </c>
      <c r="C8" s="252" t="str">
        <f>IF('Design Data'!L8=0,"",'Design Data'!L8)</f>
        <v/>
      </c>
      <c r="D8" s="252"/>
      <c r="E8" s="253"/>
      <c r="F8" s="7"/>
      <c r="G8" s="16"/>
      <c r="H8" s="16"/>
      <c r="I8" s="16"/>
      <c r="J8" s="7"/>
      <c r="K8" s="7"/>
      <c r="L8" s="7"/>
      <c r="M8" s="7"/>
      <c r="N8" s="7"/>
      <c r="O8" s="12"/>
    </row>
    <row r="9" spans="2:22" x14ac:dyDescent="0.25">
      <c r="B9" s="21" t="s">
        <v>17</v>
      </c>
      <c r="C9" s="252" t="str">
        <f>IF('Design Data'!L10=0,"",'Design Data'!L10)</f>
        <v/>
      </c>
      <c r="D9" s="252"/>
      <c r="E9" s="253"/>
      <c r="F9" s="84"/>
      <c r="G9" s="85">
        <f t="shared" ref="G9:G19" si="0">G10+1</f>
        <v>59</v>
      </c>
      <c r="H9" s="86">
        <f t="shared" ref="H9:H19" si="1">H10+1/12</f>
        <v>0.25</v>
      </c>
      <c r="I9" s="87"/>
      <c r="J9" s="88">
        <f t="shared" ref="J9:J43" si="2">IF(H9&gt;$D$53,$D$43,(H9-$H$45)*12*$D$41)</f>
        <v>64</v>
      </c>
      <c r="K9" s="89" t="s">
        <v>74</v>
      </c>
      <c r="L9" s="88">
        <f>IF(VLOOKUP(Model,STDProdRange,'Standard Product'!$O$14,FALSE)&gt;0,Q9,0)+$L$46</f>
        <v>0</v>
      </c>
      <c r="M9" s="89" t="s">
        <v>75</v>
      </c>
      <c r="N9" s="88">
        <f>J9+L9</f>
        <v>64</v>
      </c>
      <c r="O9" s="90"/>
      <c r="Q9" s="112">
        <f t="shared" ref="Q9:Q43" si="3">IF(H9&gt;$D$53,$D$44-$L$46,(H9-$H$45)*12*$D$42)</f>
        <v>0</v>
      </c>
    </row>
    <row r="10" spans="2:22" x14ac:dyDescent="0.25">
      <c r="B10" s="11"/>
      <c r="C10" s="7"/>
      <c r="D10" s="7"/>
      <c r="E10" s="12"/>
      <c r="F10" s="84"/>
      <c r="G10" s="85">
        <f t="shared" si="0"/>
        <v>58</v>
      </c>
      <c r="H10" s="86">
        <f t="shared" si="1"/>
        <v>0.16666666666666666</v>
      </c>
      <c r="I10" s="87"/>
      <c r="J10" s="88">
        <f t="shared" si="2"/>
        <v>64</v>
      </c>
      <c r="K10" s="89" t="s">
        <v>74</v>
      </c>
      <c r="L10" s="88">
        <f>IF(VLOOKUP(Model,STDProdRange,'Standard Product'!$O$14,FALSE)&gt;0,Q10,0)+$L$46</f>
        <v>0</v>
      </c>
      <c r="M10" s="89" t="s">
        <v>75</v>
      </c>
      <c r="N10" s="88">
        <f t="shared" ref="N10:N58" si="4">J10+L10</f>
        <v>64</v>
      </c>
      <c r="O10" s="90"/>
      <c r="Q10" s="112">
        <f t="shared" si="3"/>
        <v>0</v>
      </c>
    </row>
    <row r="11" spans="2:22" x14ac:dyDescent="0.25">
      <c r="B11" s="11" t="s">
        <v>90</v>
      </c>
      <c r="C11" s="7"/>
      <c r="D11" s="7"/>
      <c r="E11" s="12"/>
      <c r="F11" s="84"/>
      <c r="G11" s="85">
        <f t="shared" si="0"/>
        <v>57</v>
      </c>
      <c r="H11" s="86">
        <f t="shared" si="1"/>
        <v>8.3333333333333329E-2</v>
      </c>
      <c r="I11" s="87"/>
      <c r="J11" s="88">
        <f t="shared" si="2"/>
        <v>64</v>
      </c>
      <c r="K11" s="89" t="s">
        <v>74</v>
      </c>
      <c r="L11" s="88">
        <f>IF(VLOOKUP(Model,STDProdRange,'Standard Product'!$O$14,FALSE)&gt;0,Q11,0)+$L$46</f>
        <v>0</v>
      </c>
      <c r="M11" s="89" t="s">
        <v>75</v>
      </c>
      <c r="N11" s="88">
        <f t="shared" si="4"/>
        <v>64</v>
      </c>
      <c r="O11" s="90"/>
      <c r="Q11" s="112">
        <f t="shared" si="3"/>
        <v>0</v>
      </c>
    </row>
    <row r="12" spans="2:22" x14ac:dyDescent="0.25">
      <c r="B12" s="121" t="s">
        <v>89</v>
      </c>
      <c r="E12" s="12"/>
      <c r="F12" s="84"/>
      <c r="G12" s="85">
        <f t="shared" si="0"/>
        <v>56</v>
      </c>
      <c r="H12" s="86">
        <f t="shared" si="1"/>
        <v>0</v>
      </c>
      <c r="I12" s="87"/>
      <c r="J12" s="88">
        <f t="shared" si="2"/>
        <v>64</v>
      </c>
      <c r="K12" s="89" t="s">
        <v>74</v>
      </c>
      <c r="L12" s="88">
        <f>IF(VLOOKUP(Model,STDProdRange,'Standard Product'!$O$14,FALSE)&gt;0,Q12,0)+$L$46</f>
        <v>0</v>
      </c>
      <c r="M12" s="89" t="s">
        <v>75</v>
      </c>
      <c r="N12" s="88">
        <f t="shared" si="4"/>
        <v>64</v>
      </c>
      <c r="O12" s="90"/>
      <c r="Q12" s="112">
        <f t="shared" si="3"/>
        <v>0</v>
      </c>
    </row>
    <row r="13" spans="2:22" x14ac:dyDescent="0.25">
      <c r="B13" s="11"/>
      <c r="C13" s="19" t="s">
        <v>91</v>
      </c>
      <c r="D13" s="122">
        <v>24</v>
      </c>
      <c r="E13" s="12"/>
      <c r="F13" s="84"/>
      <c r="G13" s="85">
        <f t="shared" si="0"/>
        <v>55</v>
      </c>
      <c r="H13" s="86">
        <f t="shared" si="1"/>
        <v>-8.3333333333333412E-2</v>
      </c>
      <c r="I13" s="87"/>
      <c r="J13" s="88">
        <f t="shared" si="2"/>
        <v>64</v>
      </c>
      <c r="K13" s="89" t="s">
        <v>74</v>
      </c>
      <c r="L13" s="88">
        <f>IF(VLOOKUP(Model,STDProdRange,'Standard Product'!$O$14,FALSE)&gt;0,Q13,0)+$L$46</f>
        <v>0</v>
      </c>
      <c r="M13" s="89" t="s">
        <v>75</v>
      </c>
      <c r="N13" s="88">
        <f t="shared" si="4"/>
        <v>64</v>
      </c>
      <c r="O13" s="90"/>
      <c r="Q13" s="112">
        <f t="shared" si="3"/>
        <v>0</v>
      </c>
    </row>
    <row r="14" spans="2:22" x14ac:dyDescent="0.25">
      <c r="B14" s="72" t="s">
        <v>16</v>
      </c>
      <c r="C14" s="7"/>
      <c r="D14" s="7"/>
      <c r="E14" s="12"/>
      <c r="F14" s="84"/>
      <c r="G14" s="85">
        <f t="shared" si="0"/>
        <v>54</v>
      </c>
      <c r="H14" s="86">
        <f t="shared" si="1"/>
        <v>-0.16666666666666674</v>
      </c>
      <c r="I14" s="87"/>
      <c r="J14" s="88">
        <f t="shared" si="2"/>
        <v>64</v>
      </c>
      <c r="K14" s="89" t="s">
        <v>74</v>
      </c>
      <c r="L14" s="88">
        <f>IF(VLOOKUP(Model,STDProdRange,'Standard Product'!$O$14,FALSE)&gt;0,Q14,0)+$L$46</f>
        <v>0</v>
      </c>
      <c r="M14" s="89" t="s">
        <v>75</v>
      </c>
      <c r="N14" s="88">
        <f t="shared" si="4"/>
        <v>64</v>
      </c>
      <c r="O14" s="90"/>
      <c r="Q14" s="112">
        <f t="shared" si="3"/>
        <v>0</v>
      </c>
    </row>
    <row r="15" spans="2:22" x14ac:dyDescent="0.25">
      <c r="B15" s="11"/>
      <c r="C15" s="73" t="s">
        <v>34</v>
      </c>
      <c r="D15" s="225" t="str">
        <f>Model</f>
        <v>Galley 4x4</v>
      </c>
      <c r="E15" s="12"/>
      <c r="F15" s="84"/>
      <c r="G15" s="85">
        <f t="shared" si="0"/>
        <v>53</v>
      </c>
      <c r="H15" s="86">
        <f t="shared" si="1"/>
        <v>-0.25000000000000006</v>
      </c>
      <c r="I15" s="87"/>
      <c r="J15" s="88">
        <f t="shared" si="2"/>
        <v>64</v>
      </c>
      <c r="K15" s="89" t="s">
        <v>74</v>
      </c>
      <c r="L15" s="88">
        <f>IF(VLOOKUP(Model,STDProdRange,'Standard Product'!$O$14,FALSE)&gt;0,Q15,0)+$L$46</f>
        <v>0</v>
      </c>
      <c r="M15" s="89" t="s">
        <v>75</v>
      </c>
      <c r="N15" s="88">
        <f t="shared" si="4"/>
        <v>64</v>
      </c>
      <c r="O15" s="90"/>
      <c r="Q15" s="112">
        <f t="shared" si="3"/>
        <v>0</v>
      </c>
    </row>
    <row r="16" spans="2:22" x14ac:dyDescent="0.25">
      <c r="B16" s="11"/>
      <c r="C16" s="19" t="s">
        <v>6</v>
      </c>
      <c r="D16" s="26">
        <f>'Design Data'!G26</f>
        <v>0</v>
      </c>
      <c r="E16" s="12"/>
      <c r="F16" s="84"/>
      <c r="G16" s="85">
        <f t="shared" si="0"/>
        <v>52</v>
      </c>
      <c r="H16" s="86">
        <f t="shared" si="1"/>
        <v>-0.33333333333333337</v>
      </c>
      <c r="I16" s="87"/>
      <c r="J16" s="88">
        <f t="shared" si="2"/>
        <v>64</v>
      </c>
      <c r="K16" s="89" t="s">
        <v>74</v>
      </c>
      <c r="L16" s="88">
        <f>IF(VLOOKUP(Model,STDProdRange,'Standard Product'!$O$14,FALSE)&gt;0,Q16,0)+$L$46</f>
        <v>0</v>
      </c>
      <c r="M16" s="89" t="s">
        <v>75</v>
      </c>
      <c r="N16" s="88">
        <f t="shared" si="4"/>
        <v>64</v>
      </c>
      <c r="O16" s="90"/>
      <c r="Q16" s="112">
        <f t="shared" si="3"/>
        <v>0</v>
      </c>
    </row>
    <row r="17" spans="2:17" x14ac:dyDescent="0.25">
      <c r="B17" s="11"/>
      <c r="C17" s="35" t="s">
        <v>15</v>
      </c>
      <c r="D17" s="16">
        <f>TotalRows</f>
        <v>1</v>
      </c>
      <c r="E17" s="12"/>
      <c r="F17" s="84"/>
      <c r="G17" s="85">
        <f t="shared" si="0"/>
        <v>51</v>
      </c>
      <c r="H17" s="86">
        <f t="shared" si="1"/>
        <v>-0.41666666666666669</v>
      </c>
      <c r="I17" s="87"/>
      <c r="J17" s="88">
        <f t="shared" si="2"/>
        <v>64</v>
      </c>
      <c r="K17" s="89" t="s">
        <v>74</v>
      </c>
      <c r="L17" s="88">
        <f>IF(VLOOKUP(Model,STDProdRange,'Standard Product'!$O$14,FALSE)&gt;0,Q17,0)+$L$46</f>
        <v>0</v>
      </c>
      <c r="M17" s="89" t="s">
        <v>75</v>
      </c>
      <c r="N17" s="88">
        <f t="shared" si="4"/>
        <v>64</v>
      </c>
      <c r="O17" s="90"/>
      <c r="Q17" s="112">
        <f t="shared" si="3"/>
        <v>0</v>
      </c>
    </row>
    <row r="18" spans="2:17" x14ac:dyDescent="0.25">
      <c r="B18" s="11"/>
      <c r="C18" s="19" t="s">
        <v>77</v>
      </c>
      <c r="D18" s="16">
        <f>'Design Data'!G24</f>
        <v>1</v>
      </c>
      <c r="E18" s="12"/>
      <c r="F18" s="84"/>
      <c r="G18" s="85">
        <f t="shared" si="0"/>
        <v>50</v>
      </c>
      <c r="H18" s="86">
        <f t="shared" si="1"/>
        <v>-0.5</v>
      </c>
      <c r="I18" s="87"/>
      <c r="J18" s="88">
        <f t="shared" si="2"/>
        <v>64</v>
      </c>
      <c r="K18" s="89" t="s">
        <v>74</v>
      </c>
      <c r="L18" s="88">
        <f>IF(VLOOKUP(Model,STDProdRange,'Standard Product'!$O$14,FALSE)&gt;0,Q18,0)+$L$46</f>
        <v>0</v>
      </c>
      <c r="M18" s="89" t="s">
        <v>75</v>
      </c>
      <c r="N18" s="88">
        <f t="shared" si="4"/>
        <v>64</v>
      </c>
      <c r="O18" s="90"/>
      <c r="Q18" s="112">
        <f t="shared" si="3"/>
        <v>0</v>
      </c>
    </row>
    <row r="19" spans="2:17" x14ac:dyDescent="0.25">
      <c r="B19" s="11"/>
      <c r="C19" s="19" t="s">
        <v>78</v>
      </c>
      <c r="D19" s="47">
        <f>'Summary-Square Chamber'!D16</f>
        <v>4.666666666666667</v>
      </c>
      <c r="E19" s="12"/>
      <c r="F19" s="84"/>
      <c r="G19" s="85">
        <f t="shared" si="0"/>
        <v>49</v>
      </c>
      <c r="H19" s="86">
        <f t="shared" si="1"/>
        <v>-0.58333333333333337</v>
      </c>
      <c r="I19" s="87"/>
      <c r="J19" s="88">
        <f t="shared" si="2"/>
        <v>64</v>
      </c>
      <c r="K19" s="89" t="s">
        <v>74</v>
      </c>
      <c r="L19" s="88">
        <f>IF(VLOOKUP(Model,STDProdRange,'Standard Product'!$O$14,FALSE)&gt;0,Q19,0)+$L$46</f>
        <v>0</v>
      </c>
      <c r="M19" s="89" t="s">
        <v>75</v>
      </c>
      <c r="N19" s="88">
        <f t="shared" si="4"/>
        <v>64</v>
      </c>
      <c r="O19" s="90"/>
      <c r="Q19" s="112">
        <f t="shared" si="3"/>
        <v>0</v>
      </c>
    </row>
    <row r="20" spans="2:17" x14ac:dyDescent="0.25">
      <c r="B20" s="11"/>
      <c r="C20" s="19" t="str">
        <f>IF('Design Data'!C19&gt;0,"Total Chambers","Total Feet")&amp;" ="</f>
        <v>Total Chambers =</v>
      </c>
      <c r="D20" s="16">
        <f>D17*D18</f>
        <v>1</v>
      </c>
      <c r="E20" s="12"/>
      <c r="F20" s="84"/>
      <c r="G20" s="85">
        <f t="shared" ref="G20:G43" si="5">G21+1</f>
        <v>48</v>
      </c>
      <c r="H20" s="86">
        <f t="shared" ref="H20:H43" si="6">H21+1/12</f>
        <v>-0.66666666666666674</v>
      </c>
      <c r="I20" s="87"/>
      <c r="J20" s="88">
        <f t="shared" si="2"/>
        <v>64</v>
      </c>
      <c r="K20" s="89" t="s">
        <v>74</v>
      </c>
      <c r="L20" s="88">
        <f>IF(VLOOKUP(Model,STDProdRange,'Standard Product'!$O$14,FALSE)&gt;0,Q20,0)+$L$46</f>
        <v>0</v>
      </c>
      <c r="M20" s="89" t="s">
        <v>75</v>
      </c>
      <c r="N20" s="88">
        <f t="shared" si="4"/>
        <v>64</v>
      </c>
      <c r="O20" s="90"/>
      <c r="Q20" s="112">
        <f t="shared" si="3"/>
        <v>0</v>
      </c>
    </row>
    <row r="21" spans="2:17" x14ac:dyDescent="0.25">
      <c r="B21" s="11"/>
      <c r="C21" s="7"/>
      <c r="D21" s="7"/>
      <c r="E21" s="12"/>
      <c r="F21" s="84"/>
      <c r="G21" s="85">
        <f t="shared" si="5"/>
        <v>47</v>
      </c>
      <c r="H21" s="86">
        <f t="shared" si="6"/>
        <v>-0.75000000000000011</v>
      </c>
      <c r="I21" s="87"/>
      <c r="J21" s="88">
        <f t="shared" si="2"/>
        <v>62.666666666666664</v>
      </c>
      <c r="K21" s="89" t="s">
        <v>74</v>
      </c>
      <c r="L21" s="88">
        <f>IF(VLOOKUP(Model,STDProdRange,'Standard Product'!$O$14,FALSE)&gt;0,Q21,0)+$L$46</f>
        <v>0</v>
      </c>
      <c r="M21" s="89" t="s">
        <v>75</v>
      </c>
      <c r="N21" s="88">
        <f t="shared" si="4"/>
        <v>62.666666666666664</v>
      </c>
      <c r="O21" s="90"/>
      <c r="Q21" s="112">
        <f t="shared" si="3"/>
        <v>0</v>
      </c>
    </row>
    <row r="22" spans="2:17" x14ac:dyDescent="0.25">
      <c r="B22" s="11"/>
      <c r="C22" s="19" t="s">
        <v>61</v>
      </c>
      <c r="D22" s="47">
        <f>'Design Data'!L16</f>
        <v>0</v>
      </c>
      <c r="E22" s="12"/>
      <c r="F22" s="84"/>
      <c r="G22" s="85">
        <f>G23+1</f>
        <v>46</v>
      </c>
      <c r="H22" s="86">
        <f>H23+1/12</f>
        <v>-0.83333333333333348</v>
      </c>
      <c r="I22" s="87"/>
      <c r="J22" s="88">
        <f t="shared" si="2"/>
        <v>61.333333333333329</v>
      </c>
      <c r="K22" s="89" t="s">
        <v>74</v>
      </c>
      <c r="L22" s="88">
        <f>IF(VLOOKUP(Model,STDProdRange,'Standard Product'!$O$14,FALSE)&gt;0,Q22,0)+$L$46</f>
        <v>0</v>
      </c>
      <c r="M22" s="89" t="s">
        <v>75</v>
      </c>
      <c r="N22" s="88">
        <f t="shared" si="4"/>
        <v>61.333333333333329</v>
      </c>
      <c r="O22" s="90"/>
      <c r="Q22" s="112">
        <f t="shared" si="3"/>
        <v>0</v>
      </c>
    </row>
    <row r="23" spans="2:17" x14ac:dyDescent="0.25">
      <c r="B23" s="11"/>
      <c r="C23" s="19" t="s">
        <v>60</v>
      </c>
      <c r="D23" s="47">
        <f>'Design Data'!L15</f>
        <v>0</v>
      </c>
      <c r="E23" s="12"/>
      <c r="F23" s="84"/>
      <c r="G23" s="85">
        <f t="shared" si="5"/>
        <v>45</v>
      </c>
      <c r="H23" s="86">
        <f t="shared" si="6"/>
        <v>-0.91666666666666685</v>
      </c>
      <c r="I23" s="87"/>
      <c r="J23" s="88">
        <f t="shared" si="2"/>
        <v>60</v>
      </c>
      <c r="K23" s="89" t="s">
        <v>74</v>
      </c>
      <c r="L23" s="88">
        <f>IF(VLOOKUP(Model,STDProdRange,'Standard Product'!$O$14,FALSE)&gt;0,Q23,0)+$L$46</f>
        <v>0</v>
      </c>
      <c r="M23" s="89" t="s">
        <v>75</v>
      </c>
      <c r="N23" s="88">
        <f t="shared" si="4"/>
        <v>60</v>
      </c>
      <c r="O23" s="90"/>
      <c r="Q23" s="112">
        <f t="shared" si="3"/>
        <v>0</v>
      </c>
    </row>
    <row r="24" spans="2:17" x14ac:dyDescent="0.25">
      <c r="B24" s="11"/>
      <c r="C24" s="19" t="s">
        <v>59</v>
      </c>
      <c r="D24" s="47">
        <f>'Design Data'!L17</f>
        <v>0</v>
      </c>
      <c r="E24" s="83"/>
      <c r="F24" s="84"/>
      <c r="G24" s="85">
        <f t="shared" si="5"/>
        <v>44</v>
      </c>
      <c r="H24" s="86">
        <f t="shared" si="6"/>
        <v>-1.0000000000000002</v>
      </c>
      <c r="I24" s="87"/>
      <c r="J24" s="88">
        <f t="shared" si="2"/>
        <v>58.666666666666664</v>
      </c>
      <c r="K24" s="89" t="s">
        <v>74</v>
      </c>
      <c r="L24" s="88">
        <f>IF(VLOOKUP(Model,STDProdRange,'Standard Product'!$O$14,FALSE)&gt;0,Q24,0)+$L$46</f>
        <v>0</v>
      </c>
      <c r="M24" s="89" t="s">
        <v>75</v>
      </c>
      <c r="N24" s="88">
        <f t="shared" si="4"/>
        <v>58.666666666666664</v>
      </c>
      <c r="O24" s="90"/>
      <c r="Q24" s="112">
        <f t="shared" si="3"/>
        <v>0</v>
      </c>
    </row>
    <row r="25" spans="2:17" x14ac:dyDescent="0.25">
      <c r="B25" s="11"/>
      <c r="C25" s="19" t="s">
        <v>118</v>
      </c>
      <c r="D25" s="47">
        <f>'Design Data'!L18</f>
        <v>0</v>
      </c>
      <c r="E25" s="12"/>
      <c r="F25" s="84"/>
      <c r="G25" s="85">
        <f>G26+1</f>
        <v>43</v>
      </c>
      <c r="H25" s="86">
        <f>H26+1/12</f>
        <v>-1.0833333333333335</v>
      </c>
      <c r="I25" s="87"/>
      <c r="J25" s="88">
        <f t="shared" si="2"/>
        <v>57.333333333333329</v>
      </c>
      <c r="K25" s="89" t="s">
        <v>74</v>
      </c>
      <c r="L25" s="88">
        <f>IF(VLOOKUP(Model,STDProdRange,'Standard Product'!$O$14,FALSE)&gt;0,Q25,0)+$L$46</f>
        <v>0</v>
      </c>
      <c r="M25" s="89" t="s">
        <v>75</v>
      </c>
      <c r="N25" s="88">
        <f t="shared" si="4"/>
        <v>57.333333333333329</v>
      </c>
      <c r="O25" s="90"/>
      <c r="Q25" s="112">
        <f t="shared" si="3"/>
        <v>0</v>
      </c>
    </row>
    <row r="26" spans="2:17" x14ac:dyDescent="0.25">
      <c r="B26" s="11"/>
      <c r="C26" s="19" t="s">
        <v>13</v>
      </c>
      <c r="D26" s="74">
        <f>'Design Data'!L19</f>
        <v>0</v>
      </c>
      <c r="E26" s="12"/>
      <c r="F26" s="84"/>
      <c r="G26" s="85">
        <f t="shared" si="5"/>
        <v>42</v>
      </c>
      <c r="H26" s="86">
        <f t="shared" si="6"/>
        <v>-1.1666666666666667</v>
      </c>
      <c r="I26" s="87"/>
      <c r="J26" s="88">
        <f t="shared" si="2"/>
        <v>56</v>
      </c>
      <c r="K26" s="89" t="s">
        <v>74</v>
      </c>
      <c r="L26" s="88">
        <f>IF(VLOOKUP(Model,STDProdRange,'Standard Product'!$O$14,FALSE)&gt;0,Q26,0)+$L$46</f>
        <v>0</v>
      </c>
      <c r="M26" s="89" t="s">
        <v>75</v>
      </c>
      <c r="N26" s="88">
        <f t="shared" si="4"/>
        <v>56</v>
      </c>
      <c r="O26" s="90"/>
      <c r="Q26" s="112">
        <f t="shared" si="3"/>
        <v>0</v>
      </c>
    </row>
    <row r="27" spans="2:17" x14ac:dyDescent="0.25">
      <c r="B27" s="11"/>
      <c r="C27" s="19" t="s">
        <v>62</v>
      </c>
      <c r="D27" s="47">
        <f>'Design Data'!L14</f>
        <v>0</v>
      </c>
      <c r="E27" s="12"/>
      <c r="F27" s="84"/>
      <c r="G27" s="85">
        <f t="shared" si="5"/>
        <v>41</v>
      </c>
      <c r="H27" s="86">
        <f t="shared" si="6"/>
        <v>-1.25</v>
      </c>
      <c r="I27" s="87"/>
      <c r="J27" s="88">
        <f t="shared" si="2"/>
        <v>54.666666666666664</v>
      </c>
      <c r="K27" s="89" t="s">
        <v>74</v>
      </c>
      <c r="L27" s="88">
        <f>IF(VLOOKUP(Model,STDProdRange,'Standard Product'!$O$14,FALSE)&gt;0,Q27,0)+$L$46</f>
        <v>0</v>
      </c>
      <c r="M27" s="89" t="s">
        <v>75</v>
      </c>
      <c r="N27" s="88">
        <f t="shared" si="4"/>
        <v>54.666666666666664</v>
      </c>
      <c r="O27" s="90"/>
      <c r="Q27" s="112">
        <f t="shared" si="3"/>
        <v>0</v>
      </c>
    </row>
    <row r="28" spans="2:17" x14ac:dyDescent="0.25">
      <c r="B28" s="11"/>
      <c r="C28" s="19" t="s">
        <v>12</v>
      </c>
      <c r="D28" s="16">
        <f>'Design Data'!E15</f>
        <v>0</v>
      </c>
      <c r="E28" s="12"/>
      <c r="F28" s="84"/>
      <c r="G28" s="85">
        <f t="shared" si="5"/>
        <v>40</v>
      </c>
      <c r="H28" s="86">
        <f t="shared" si="6"/>
        <v>-1.3333333333333333</v>
      </c>
      <c r="I28" s="87"/>
      <c r="J28" s="88">
        <f t="shared" si="2"/>
        <v>53.333333333333343</v>
      </c>
      <c r="K28" s="89" t="s">
        <v>74</v>
      </c>
      <c r="L28" s="88">
        <f>IF(VLOOKUP(Model,STDProdRange,'Standard Product'!$O$14,FALSE)&gt;0,Q28,0)+$L$46</f>
        <v>0</v>
      </c>
      <c r="M28" s="89" t="s">
        <v>75</v>
      </c>
      <c r="N28" s="88">
        <f t="shared" si="4"/>
        <v>53.333333333333343</v>
      </c>
      <c r="O28" s="90"/>
      <c r="Q28" s="112">
        <f t="shared" si="3"/>
        <v>0</v>
      </c>
    </row>
    <row r="29" spans="2:17" x14ac:dyDescent="0.25">
      <c r="B29" s="11"/>
      <c r="C29" s="19" t="s">
        <v>11</v>
      </c>
      <c r="D29" s="16">
        <f>'Design Data'!E16</f>
        <v>0</v>
      </c>
      <c r="E29" s="12"/>
      <c r="F29" s="84"/>
      <c r="G29" s="85">
        <f t="shared" si="5"/>
        <v>39</v>
      </c>
      <c r="H29" s="86">
        <f t="shared" si="6"/>
        <v>-1.4166666666666665</v>
      </c>
      <c r="I29" s="87"/>
      <c r="J29" s="88">
        <f t="shared" si="2"/>
        <v>52.000000000000007</v>
      </c>
      <c r="K29" s="89" t="s">
        <v>74</v>
      </c>
      <c r="L29" s="88">
        <f>IF(VLOOKUP(Model,STDProdRange,'Standard Product'!$O$14,FALSE)&gt;0,Q29,0)+$L$46</f>
        <v>0</v>
      </c>
      <c r="M29" s="89" t="s">
        <v>75</v>
      </c>
      <c r="N29" s="88">
        <f t="shared" si="4"/>
        <v>52.000000000000007</v>
      </c>
      <c r="O29" s="90"/>
      <c r="Q29" s="112">
        <f t="shared" si="3"/>
        <v>0</v>
      </c>
    </row>
    <row r="30" spans="2:17" x14ac:dyDescent="0.25">
      <c r="B30" s="11"/>
      <c r="C30" s="19"/>
      <c r="D30" s="7"/>
      <c r="E30" s="12"/>
      <c r="F30" s="84"/>
      <c r="G30" s="85">
        <f t="shared" si="5"/>
        <v>38</v>
      </c>
      <c r="H30" s="86">
        <f t="shared" si="6"/>
        <v>-1.4999999999999998</v>
      </c>
      <c r="I30" s="87"/>
      <c r="J30" s="88">
        <f t="shared" si="2"/>
        <v>50.666666666666664</v>
      </c>
      <c r="K30" s="89" t="s">
        <v>74</v>
      </c>
      <c r="L30" s="88">
        <f>IF(VLOOKUP(Model,STDProdRange,'Standard Product'!$O$14,FALSE)&gt;0,Q30,0)+$L$46</f>
        <v>0</v>
      </c>
      <c r="M30" s="89" t="s">
        <v>75</v>
      </c>
      <c r="N30" s="88">
        <f t="shared" si="4"/>
        <v>50.666666666666664</v>
      </c>
      <c r="O30" s="90"/>
      <c r="Q30" s="112">
        <f t="shared" si="3"/>
        <v>0</v>
      </c>
    </row>
    <row r="31" spans="2:17" x14ac:dyDescent="0.25">
      <c r="B31" s="11"/>
      <c r="C31" s="75" t="s">
        <v>76</v>
      </c>
      <c r="D31" s="7"/>
      <c r="E31" s="12"/>
      <c r="F31" s="84"/>
      <c r="G31" s="85">
        <f>G32+1</f>
        <v>37</v>
      </c>
      <c r="H31" s="86">
        <f>H32+1/12</f>
        <v>-1.583333333333333</v>
      </c>
      <c r="I31" s="87"/>
      <c r="J31" s="88">
        <f t="shared" si="2"/>
        <v>49.333333333333343</v>
      </c>
      <c r="K31" s="89" t="s">
        <v>74</v>
      </c>
      <c r="L31" s="88">
        <f>IF(VLOOKUP(Model,STDProdRange,'Standard Product'!$O$14,FALSE)&gt;0,Q31,0)+$L$46</f>
        <v>0</v>
      </c>
      <c r="M31" s="89" t="s">
        <v>75</v>
      </c>
      <c r="N31" s="88">
        <f t="shared" si="4"/>
        <v>49.333333333333343</v>
      </c>
      <c r="O31" s="90"/>
      <c r="Q31" s="112">
        <f t="shared" si="3"/>
        <v>0</v>
      </c>
    </row>
    <row r="32" spans="2:17" x14ac:dyDescent="0.25">
      <c r="B32" s="11"/>
      <c r="C32" s="19" t="str">
        <f>IF(ModelType=3,"Dia (ID), ft =","Length(ID), ft =")</f>
        <v>Length(ID), ft =</v>
      </c>
      <c r="D32" s="16">
        <f>'Design Data'!C19</f>
        <v>4</v>
      </c>
      <c r="E32" s="12"/>
      <c r="F32" s="84"/>
      <c r="G32" s="85">
        <f t="shared" si="5"/>
        <v>36</v>
      </c>
      <c r="H32" s="86">
        <f t="shared" si="6"/>
        <v>-1.6666666666666663</v>
      </c>
      <c r="I32" s="87"/>
      <c r="J32" s="88">
        <f t="shared" si="2"/>
        <v>48.000000000000014</v>
      </c>
      <c r="K32" s="89" t="s">
        <v>74</v>
      </c>
      <c r="L32" s="88">
        <f>IF(VLOOKUP(Model,STDProdRange,'Standard Product'!$O$14,FALSE)&gt;0,Q32,0)+$L$46</f>
        <v>0</v>
      </c>
      <c r="M32" s="89" t="s">
        <v>75</v>
      </c>
      <c r="N32" s="88">
        <f t="shared" si="4"/>
        <v>48.000000000000014</v>
      </c>
      <c r="O32" s="90"/>
      <c r="Q32" s="112">
        <f t="shared" si="3"/>
        <v>0</v>
      </c>
    </row>
    <row r="33" spans="2:18" x14ac:dyDescent="0.25">
      <c r="B33" s="11"/>
      <c r="C33" s="25" t="s">
        <v>79</v>
      </c>
      <c r="D33" s="16">
        <f>'Design Data'!C21</f>
        <v>4</v>
      </c>
      <c r="E33" s="12"/>
      <c r="F33" s="84"/>
      <c r="G33" s="85">
        <f t="shared" si="5"/>
        <v>35</v>
      </c>
      <c r="H33" s="86">
        <f t="shared" si="6"/>
        <v>-1.7499999999999996</v>
      </c>
      <c r="I33" s="87"/>
      <c r="J33" s="88">
        <f t="shared" si="2"/>
        <v>46.666666666666671</v>
      </c>
      <c r="K33" s="89" t="s">
        <v>74</v>
      </c>
      <c r="L33" s="88">
        <f>IF(VLOOKUP(Model,STDProdRange,'Standard Product'!$O$14,FALSE)&gt;0,Q33,0)+$L$46</f>
        <v>0</v>
      </c>
      <c r="M33" s="89" t="s">
        <v>75</v>
      </c>
      <c r="N33" s="88">
        <f t="shared" si="4"/>
        <v>46.666666666666671</v>
      </c>
      <c r="O33" s="90"/>
      <c r="Q33" s="112">
        <f t="shared" si="3"/>
        <v>0</v>
      </c>
    </row>
    <row r="34" spans="2:18" x14ac:dyDescent="0.25">
      <c r="B34" s="11"/>
      <c r="C34" s="19" t="str">
        <f>IF(ModelType=3," ","Width(ID), ft =")</f>
        <v>Width(ID), ft =</v>
      </c>
      <c r="D34" s="16">
        <f>'Design Data'!C20</f>
        <v>4</v>
      </c>
      <c r="E34" s="12"/>
      <c r="F34" s="84"/>
      <c r="G34" s="85">
        <f t="shared" si="5"/>
        <v>34</v>
      </c>
      <c r="H34" s="86">
        <f t="shared" si="6"/>
        <v>-1.8333333333333328</v>
      </c>
      <c r="I34" s="87"/>
      <c r="J34" s="88">
        <f t="shared" si="2"/>
        <v>45.333333333333343</v>
      </c>
      <c r="K34" s="89" t="s">
        <v>74</v>
      </c>
      <c r="L34" s="88">
        <f>IF(VLOOKUP(Model,STDProdRange,'Standard Product'!$O$14,FALSE)&gt;0,Q34,0)+$L$46</f>
        <v>0</v>
      </c>
      <c r="M34" s="89" t="s">
        <v>75</v>
      </c>
      <c r="N34" s="88">
        <f t="shared" si="4"/>
        <v>45.333333333333343</v>
      </c>
      <c r="O34" s="90"/>
      <c r="Q34" s="112">
        <f t="shared" si="3"/>
        <v>0</v>
      </c>
    </row>
    <row r="35" spans="2:18" x14ac:dyDescent="0.25">
      <c r="B35" s="11"/>
      <c r="C35" s="19" t="s">
        <v>267</v>
      </c>
      <c r="D35" s="147">
        <f>'Design Data'!F19</f>
        <v>0</v>
      </c>
      <c r="E35" s="156">
        <f>'Design Data'!G19</f>
        <v>1</v>
      </c>
      <c r="F35" s="84"/>
      <c r="G35" s="85">
        <f t="shared" si="5"/>
        <v>33</v>
      </c>
      <c r="H35" s="86">
        <f t="shared" si="6"/>
        <v>-1.9166666666666661</v>
      </c>
      <c r="I35" s="87"/>
      <c r="J35" s="88">
        <f t="shared" si="2"/>
        <v>44.000000000000014</v>
      </c>
      <c r="K35" s="89" t="s">
        <v>74</v>
      </c>
      <c r="L35" s="88">
        <f>IF(VLOOKUP(Model,STDProdRange,'Standard Product'!$O$14,FALSE)&gt;0,Q35,0)+$L$46</f>
        <v>0</v>
      </c>
      <c r="M35" s="89" t="s">
        <v>75</v>
      </c>
      <c r="N35" s="88">
        <f t="shared" si="4"/>
        <v>44.000000000000014</v>
      </c>
      <c r="O35" s="90"/>
      <c r="Q35" s="112">
        <f t="shared" si="3"/>
        <v>0</v>
      </c>
    </row>
    <row r="36" spans="2:18" x14ac:dyDescent="0.25">
      <c r="B36" s="72" t="s">
        <v>10</v>
      </c>
      <c r="C36" s="7"/>
      <c r="D36" s="7"/>
      <c r="E36" s="12"/>
      <c r="F36" s="84"/>
      <c r="G36" s="85">
        <f t="shared" si="5"/>
        <v>32</v>
      </c>
      <c r="H36" s="86">
        <f t="shared" si="6"/>
        <v>-1.9999999999999993</v>
      </c>
      <c r="I36" s="87"/>
      <c r="J36" s="88">
        <f t="shared" si="2"/>
        <v>42.666666666666686</v>
      </c>
      <c r="K36" s="89" t="s">
        <v>74</v>
      </c>
      <c r="L36" s="88">
        <f>IF(VLOOKUP(Model,STDProdRange,'Standard Product'!$O$14,FALSE)&gt;0,Q36,0)+$L$46</f>
        <v>0</v>
      </c>
      <c r="M36" s="89" t="s">
        <v>75</v>
      </c>
      <c r="N36" s="88">
        <f t="shared" si="4"/>
        <v>42.666666666666686</v>
      </c>
      <c r="O36" s="90"/>
      <c r="Q36" s="112">
        <f t="shared" si="3"/>
        <v>0</v>
      </c>
    </row>
    <row r="37" spans="2:18" x14ac:dyDescent="0.25">
      <c r="B37" s="11"/>
      <c r="C37" s="19" t="s">
        <v>65</v>
      </c>
      <c r="D37" s="34">
        <f>'Design Data'!K27</f>
        <v>4.666666666666667</v>
      </c>
      <c r="E37" s="12"/>
      <c r="F37" s="84"/>
      <c r="G37" s="85">
        <f t="shared" si="5"/>
        <v>31</v>
      </c>
      <c r="H37" s="86">
        <f t="shared" si="6"/>
        <v>-2.0833333333333326</v>
      </c>
      <c r="I37" s="87"/>
      <c r="J37" s="88">
        <f t="shared" si="2"/>
        <v>41.33333333333335</v>
      </c>
      <c r="K37" s="89" t="s">
        <v>74</v>
      </c>
      <c r="L37" s="88">
        <f>IF(VLOOKUP(Model,STDProdRange,'Standard Product'!$O$14,FALSE)&gt;0,Q37,0)+$L$46</f>
        <v>0</v>
      </c>
      <c r="M37" s="89" t="s">
        <v>75</v>
      </c>
      <c r="N37" s="88">
        <f t="shared" si="4"/>
        <v>41.33333333333335</v>
      </c>
      <c r="O37" s="90"/>
      <c r="Q37" s="112">
        <f t="shared" si="3"/>
        <v>0</v>
      </c>
    </row>
    <row r="38" spans="2:18" x14ac:dyDescent="0.25">
      <c r="B38" s="11"/>
      <c r="C38" s="19" t="s">
        <v>66</v>
      </c>
      <c r="D38" s="34">
        <f>'Design Data'!I32</f>
        <v>4.666666666666667</v>
      </c>
      <c r="E38" s="12"/>
      <c r="F38" s="84"/>
      <c r="G38" s="85">
        <f t="shared" si="5"/>
        <v>30</v>
      </c>
      <c r="H38" s="86">
        <f t="shared" si="6"/>
        <v>-2.1666666666666661</v>
      </c>
      <c r="I38" s="87"/>
      <c r="J38" s="88">
        <f t="shared" si="2"/>
        <v>40.000000000000014</v>
      </c>
      <c r="K38" s="89" t="s">
        <v>74</v>
      </c>
      <c r="L38" s="88">
        <f>IF(VLOOKUP(Model,STDProdRange,'Standard Product'!$O$14,FALSE)&gt;0,Q38,0)+$L$46</f>
        <v>0</v>
      </c>
      <c r="M38" s="89" t="s">
        <v>75</v>
      </c>
      <c r="N38" s="88">
        <f t="shared" si="4"/>
        <v>40.000000000000014</v>
      </c>
      <c r="O38" s="90"/>
      <c r="Q38" s="112">
        <f t="shared" si="3"/>
        <v>0</v>
      </c>
    </row>
    <row r="39" spans="2:18" x14ac:dyDescent="0.25">
      <c r="B39" s="11"/>
      <c r="C39" s="19" t="s">
        <v>67</v>
      </c>
      <c r="D39" s="34">
        <f>'Design Data'!G26-'Design Data'!G36</f>
        <v>4.666666666666667</v>
      </c>
      <c r="E39" s="12"/>
      <c r="F39" s="84"/>
      <c r="G39" s="85">
        <f t="shared" si="5"/>
        <v>29</v>
      </c>
      <c r="H39" s="86">
        <f t="shared" si="6"/>
        <v>-2.2499999999999996</v>
      </c>
      <c r="I39" s="87"/>
      <c r="J39" s="88">
        <f t="shared" si="2"/>
        <v>38.666666666666671</v>
      </c>
      <c r="K39" s="89" t="s">
        <v>74</v>
      </c>
      <c r="L39" s="88">
        <f>IF(VLOOKUP(Model,STDProdRange,'Standard Product'!$O$14,FALSE)&gt;0,Q39,0)+$L$46</f>
        <v>0</v>
      </c>
      <c r="M39" s="89" t="s">
        <v>75</v>
      </c>
      <c r="N39" s="88">
        <f t="shared" si="4"/>
        <v>38.666666666666671</v>
      </c>
      <c r="O39" s="90"/>
      <c r="Q39" s="112">
        <f t="shared" si="3"/>
        <v>0</v>
      </c>
    </row>
    <row r="40" spans="2:18" x14ac:dyDescent="0.25">
      <c r="B40" s="11"/>
      <c r="C40" s="19" t="s">
        <v>45</v>
      </c>
      <c r="D40" s="34">
        <f>D37*D38</f>
        <v>21.777777777777782</v>
      </c>
      <c r="E40" s="12"/>
      <c r="F40" s="84"/>
      <c r="G40" s="85">
        <f t="shared" si="5"/>
        <v>28</v>
      </c>
      <c r="H40" s="86">
        <f t="shared" si="6"/>
        <v>-2.333333333333333</v>
      </c>
      <c r="I40" s="87"/>
      <c r="J40" s="88">
        <f t="shared" si="2"/>
        <v>37.333333333333343</v>
      </c>
      <c r="K40" s="89" t="s">
        <v>74</v>
      </c>
      <c r="L40" s="88">
        <f>IF(VLOOKUP(Model,STDProdRange,'Standard Product'!$O$14,FALSE)&gt;0,Q40,0)+$L$46</f>
        <v>0</v>
      </c>
      <c r="M40" s="89" t="s">
        <v>75</v>
      </c>
      <c r="N40" s="88">
        <f t="shared" si="4"/>
        <v>37.333333333333343</v>
      </c>
      <c r="O40" s="90"/>
      <c r="Q40" s="112">
        <f t="shared" si="3"/>
        <v>0</v>
      </c>
    </row>
    <row r="41" spans="2:18" x14ac:dyDescent="0.25">
      <c r="B41" s="11"/>
      <c r="C41" s="2" t="s">
        <v>121</v>
      </c>
      <c r="D41" s="32">
        <f>IF(ModelType=3,'Design Data'!P70,'Design Data'!P40)</f>
        <v>1.3333333333333333</v>
      </c>
      <c r="E41" s="83"/>
      <c r="F41" s="84"/>
      <c r="G41" s="85">
        <f t="shared" si="5"/>
        <v>27</v>
      </c>
      <c r="H41" s="86">
        <f t="shared" si="6"/>
        <v>-2.4166666666666665</v>
      </c>
      <c r="I41" s="87"/>
      <c r="J41" s="88">
        <f t="shared" si="2"/>
        <v>36.000000000000007</v>
      </c>
      <c r="K41" s="89" t="s">
        <v>74</v>
      </c>
      <c r="L41" s="88">
        <f>IF(VLOOKUP(Model,STDProdRange,'Standard Product'!$O$14,FALSE)&gt;0,Q41,0)+$L$46</f>
        <v>0</v>
      </c>
      <c r="M41" s="89" t="s">
        <v>75</v>
      </c>
      <c r="N41" s="88">
        <f t="shared" si="4"/>
        <v>36.000000000000007</v>
      </c>
      <c r="O41" s="90"/>
      <c r="Q41" s="112">
        <f t="shared" si="3"/>
        <v>0</v>
      </c>
    </row>
    <row r="42" spans="2:18" x14ac:dyDescent="0.25">
      <c r="B42" s="11"/>
      <c r="C42" s="2" t="s">
        <v>122</v>
      </c>
      <c r="D42" s="32">
        <f>IF(ModelType=3,'Design Data'!P78,'Design Data'!P41)</f>
        <v>0</v>
      </c>
      <c r="E42" s="12"/>
      <c r="F42" s="84"/>
      <c r="G42" s="85">
        <f t="shared" si="5"/>
        <v>26</v>
      </c>
      <c r="H42" s="86">
        <f t="shared" si="6"/>
        <v>-2.5</v>
      </c>
      <c r="I42" s="87"/>
      <c r="J42" s="88">
        <f t="shared" si="2"/>
        <v>34.666666666666671</v>
      </c>
      <c r="K42" s="89" t="s">
        <v>74</v>
      </c>
      <c r="L42" s="88">
        <f>IF(VLOOKUP(Model,STDProdRange,'Standard Product'!$O$14,FALSE)&gt;0,Q42,0)+$L$46</f>
        <v>0</v>
      </c>
      <c r="M42" s="89" t="s">
        <v>75</v>
      </c>
      <c r="N42" s="88">
        <f t="shared" si="4"/>
        <v>34.666666666666671</v>
      </c>
      <c r="O42" s="90"/>
      <c r="Q42" s="112">
        <f t="shared" si="3"/>
        <v>0</v>
      </c>
    </row>
    <row r="43" spans="2:18" x14ac:dyDescent="0.25">
      <c r="B43" s="11"/>
      <c r="C43" s="19" t="s">
        <v>9</v>
      </c>
      <c r="D43" s="34">
        <f>'Summary-Square Chamber'!D20</f>
        <v>64</v>
      </c>
      <c r="E43" s="12"/>
      <c r="F43" s="84"/>
      <c r="G43" s="85">
        <f t="shared" si="5"/>
        <v>25</v>
      </c>
      <c r="H43" s="86">
        <f t="shared" si="6"/>
        <v>-2.5833333333333335</v>
      </c>
      <c r="I43" s="87"/>
      <c r="J43" s="88">
        <f t="shared" si="2"/>
        <v>33.333333333333329</v>
      </c>
      <c r="K43" s="89" t="s">
        <v>74</v>
      </c>
      <c r="L43" s="88">
        <f>IF(VLOOKUP(Model,STDProdRange,'Standard Product'!$O$14,FALSE)&gt;0,Q43,0)+$L$46</f>
        <v>0</v>
      </c>
      <c r="M43" s="89" t="s">
        <v>75</v>
      </c>
      <c r="N43" s="88">
        <f t="shared" si="4"/>
        <v>33.333333333333329</v>
      </c>
      <c r="O43" s="90"/>
      <c r="Q43" s="112">
        <f t="shared" si="3"/>
        <v>0</v>
      </c>
    </row>
    <row r="44" spans="2:18" ht="15.75" thickBot="1" x14ac:dyDescent="0.3">
      <c r="B44" s="13"/>
      <c r="C44" s="19" t="s">
        <v>48</v>
      </c>
      <c r="D44" s="34">
        <f>'Summary-Square Chamber'!D21</f>
        <v>0</v>
      </c>
      <c r="E44" s="12"/>
      <c r="F44" s="84"/>
      <c r="G44" s="85">
        <f>D13</f>
        <v>24</v>
      </c>
      <c r="H44" s="86">
        <f>H45+G44/12</f>
        <v>-2.666666666666667</v>
      </c>
      <c r="I44" s="87"/>
      <c r="J44" s="88">
        <f>IF(H44&gt;$D$53,$D$43,(H44-$H$45)*12*$D$41)</f>
        <v>32</v>
      </c>
      <c r="K44" s="89" t="s">
        <v>74</v>
      </c>
      <c r="L44" s="88">
        <f>IF(VLOOKUP(Model,STDProdRange,'Standard Product'!$O$14,FALSE)&gt;0,Q44,0)+$L$46</f>
        <v>0</v>
      </c>
      <c r="M44" s="89" t="s">
        <v>75</v>
      </c>
      <c r="N44" s="88">
        <f t="shared" si="4"/>
        <v>32</v>
      </c>
      <c r="O44" s="90"/>
      <c r="Q44" s="112">
        <f>IF(H44&gt;$D$53,$D$44-$L$46,(H44-$H$45)*12*$D$42)</f>
        <v>0</v>
      </c>
    </row>
    <row r="45" spans="2:18" ht="16.5" thickBot="1" x14ac:dyDescent="0.3">
      <c r="B45" s="58"/>
      <c r="C45" s="59" t="s">
        <v>8</v>
      </c>
      <c r="D45" s="167">
        <f>D43+D44</f>
        <v>64</v>
      </c>
      <c r="E45" s="12"/>
      <c r="F45" s="7"/>
      <c r="G45" s="77" t="s">
        <v>72</v>
      </c>
      <c r="H45" s="71">
        <f>D54</f>
        <v>-4.666666666666667</v>
      </c>
      <c r="I45" s="47"/>
      <c r="J45" s="26">
        <f>D35*D32*D34*D20*E35</f>
        <v>0</v>
      </c>
      <c r="K45" s="16" t="s">
        <v>74</v>
      </c>
      <c r="L45" s="88">
        <f>IF(VLOOKUP(Model,STDProdRange,'Standard Product'!$O$14,FALSE)&gt;0,Q45,0)+$L$46</f>
        <v>0</v>
      </c>
      <c r="M45" s="16" t="s">
        <v>75</v>
      </c>
      <c r="N45" s="26">
        <f t="shared" si="4"/>
        <v>0</v>
      </c>
      <c r="O45" s="12"/>
      <c r="Q45" s="112">
        <f>((($D$17-1)*$D$24*$D$19)+(($D$38*2)+($D$37-($D$23*2))*2)*$D$23)*$D$26*(H45-$H$46)</f>
        <v>0</v>
      </c>
    </row>
    <row r="46" spans="2:18" x14ac:dyDescent="0.25">
      <c r="B46" s="8"/>
      <c r="C46" s="7"/>
      <c r="D46" s="7"/>
      <c r="E46" s="12"/>
      <c r="F46" s="9"/>
      <c r="G46" s="56" t="s">
        <v>68</v>
      </c>
      <c r="H46" s="64">
        <f>D55</f>
        <v>-4.666666666666667</v>
      </c>
      <c r="I46" s="55"/>
      <c r="J46" s="57">
        <v>0</v>
      </c>
      <c r="K46" s="54" t="s">
        <v>74</v>
      </c>
      <c r="L46" s="57">
        <f>IF(VLOOKUP(Model,STDProdRange,'Standard Product'!$I$14,FALSE)&gt;0,R46,0)</f>
        <v>0</v>
      </c>
      <c r="M46" s="54" t="s">
        <v>75</v>
      </c>
      <c r="N46" s="57">
        <f t="shared" si="4"/>
        <v>0</v>
      </c>
      <c r="O46" s="10"/>
      <c r="R46" s="1">
        <f>IF($D$22&lt;1/12,0,(R47+$D$26*($D$37*$D$38*1/12)))</f>
        <v>0</v>
      </c>
    </row>
    <row r="47" spans="2:18" x14ac:dyDescent="0.25">
      <c r="B47" s="72" t="s">
        <v>7</v>
      </c>
      <c r="C47" s="7"/>
      <c r="D47" s="7"/>
      <c r="E47" s="12"/>
      <c r="F47" s="91"/>
      <c r="G47" s="92"/>
      <c r="H47" s="93">
        <f>H46-1/12</f>
        <v>-4.75</v>
      </c>
      <c r="I47" s="94"/>
      <c r="J47" s="95">
        <v>0</v>
      </c>
      <c r="K47" s="92" t="s">
        <v>74</v>
      </c>
      <c r="L47" s="95">
        <f>IF(VLOOKUP(Model,STDProdRange,'Standard Product'!$I$14,FALSE)&gt;0,R47,0)</f>
        <v>0</v>
      </c>
      <c r="M47" s="92" t="s">
        <v>75</v>
      </c>
      <c r="N47" s="95">
        <f t="shared" si="4"/>
        <v>0</v>
      </c>
      <c r="O47" s="96"/>
      <c r="R47" s="1">
        <f>IF($D$22&lt;2/12,0,(R48+$D$26*($D$37*$D$38*1/12)))</f>
        <v>0</v>
      </c>
    </row>
    <row r="48" spans="2:18" x14ac:dyDescent="0.25">
      <c r="B48" s="11"/>
      <c r="C48" s="19" t="s">
        <v>6</v>
      </c>
      <c r="D48" s="26">
        <f>D16</f>
        <v>0</v>
      </c>
      <c r="E48" s="12"/>
      <c r="F48" s="91"/>
      <c r="G48" s="92"/>
      <c r="H48" s="93">
        <f t="shared" ref="H48:H58" si="7">H47-1/12</f>
        <v>-4.833333333333333</v>
      </c>
      <c r="I48" s="94"/>
      <c r="J48" s="95">
        <v>0</v>
      </c>
      <c r="K48" s="92" t="s">
        <v>74</v>
      </c>
      <c r="L48" s="95">
        <f>IF(VLOOKUP(Model,STDProdRange,'Standard Product'!$I$14,FALSE)&gt;0,R48,0)</f>
        <v>0</v>
      </c>
      <c r="M48" s="92" t="s">
        <v>75</v>
      </c>
      <c r="N48" s="95">
        <f t="shared" si="4"/>
        <v>0</v>
      </c>
      <c r="O48" s="96"/>
      <c r="R48" s="1">
        <f>IF($D$22&lt;3/12,0,(R49+$D$26*($D$37*$D$38*1/12)))</f>
        <v>0</v>
      </c>
    </row>
    <row r="49" spans="2:18" x14ac:dyDescent="0.25">
      <c r="B49" s="11"/>
      <c r="C49" s="19" t="s">
        <v>5</v>
      </c>
      <c r="D49" s="7">
        <f>D48-D28/12</f>
        <v>0</v>
      </c>
      <c r="E49" s="12"/>
      <c r="F49" s="91"/>
      <c r="G49" s="92"/>
      <c r="H49" s="93">
        <f t="shared" si="7"/>
        <v>-4.9166666666666661</v>
      </c>
      <c r="I49" s="94"/>
      <c r="J49" s="95">
        <v>0</v>
      </c>
      <c r="K49" s="92" t="s">
        <v>74</v>
      </c>
      <c r="L49" s="95">
        <f>IF(VLOOKUP(Model,STDProdRange,'Standard Product'!$I$14,FALSE)&gt;0,R49,0)</f>
        <v>0</v>
      </c>
      <c r="M49" s="92" t="s">
        <v>75</v>
      </c>
      <c r="N49" s="95">
        <f t="shared" si="4"/>
        <v>0</v>
      </c>
      <c r="O49" s="96"/>
      <c r="R49" s="1">
        <f>IF($D$22&lt;4/12,0,(R50+$D$26*($D$37*$D$38*1/12)))</f>
        <v>0</v>
      </c>
    </row>
    <row r="50" spans="2:18" x14ac:dyDescent="0.25">
      <c r="B50" s="11"/>
      <c r="C50" s="19" t="s">
        <v>4</v>
      </c>
      <c r="D50" s="7">
        <f>D49-D29/12</f>
        <v>0</v>
      </c>
      <c r="E50" s="12"/>
      <c r="F50" s="91"/>
      <c r="G50" s="92"/>
      <c r="H50" s="93">
        <f t="shared" si="7"/>
        <v>-4.9999999999999991</v>
      </c>
      <c r="I50" s="94"/>
      <c r="J50" s="95">
        <v>0</v>
      </c>
      <c r="K50" s="92" t="s">
        <v>74</v>
      </c>
      <c r="L50" s="95">
        <f>IF(VLOOKUP(Model,STDProdRange,'Standard Product'!$I$14,FALSE)&gt;0,R50,0)</f>
        <v>0</v>
      </c>
      <c r="M50" s="92" t="s">
        <v>75</v>
      </c>
      <c r="N50" s="95">
        <f t="shared" si="4"/>
        <v>0</v>
      </c>
      <c r="O50" s="96"/>
      <c r="R50" s="1">
        <f>IF($D$22&lt;5/12,0,(R51+$D$26*($D$37*$D$38*1/12)))</f>
        <v>0</v>
      </c>
    </row>
    <row r="51" spans="2:18" x14ac:dyDescent="0.25">
      <c r="B51" s="11"/>
      <c r="C51" s="19"/>
      <c r="D51" s="7"/>
      <c r="E51" s="12"/>
      <c r="F51" s="91"/>
      <c r="G51" s="92"/>
      <c r="H51" s="93">
        <f t="shared" si="7"/>
        <v>-5.0833333333333321</v>
      </c>
      <c r="I51" s="94"/>
      <c r="J51" s="95">
        <v>0</v>
      </c>
      <c r="K51" s="92" t="s">
        <v>74</v>
      </c>
      <c r="L51" s="95">
        <f>IF(VLOOKUP(Model,STDProdRange,'Standard Product'!$I$14,FALSE)&gt;0,R51,0)</f>
        <v>0</v>
      </c>
      <c r="M51" s="92" t="s">
        <v>75</v>
      </c>
      <c r="N51" s="95">
        <f t="shared" si="4"/>
        <v>0</v>
      </c>
      <c r="O51" s="96"/>
      <c r="R51" s="1">
        <f>IF($D$22&lt;6/12,0,(R52+$D$26*($D$37*$D$38*1/12)))</f>
        <v>0</v>
      </c>
    </row>
    <row r="52" spans="2:18" x14ac:dyDescent="0.25">
      <c r="B52" s="11"/>
      <c r="C52" s="19" t="s">
        <v>3</v>
      </c>
      <c r="D52" s="26">
        <f>'Design Data'!G28</f>
        <v>0</v>
      </c>
      <c r="E52" s="12"/>
      <c r="F52" s="103"/>
      <c r="G52" s="104" t="s">
        <v>69</v>
      </c>
      <c r="H52" s="105">
        <f t="shared" si="7"/>
        <v>-5.1666666666666652</v>
      </c>
      <c r="I52" s="106"/>
      <c r="J52" s="107">
        <v>0</v>
      </c>
      <c r="K52" s="108" t="s">
        <v>74</v>
      </c>
      <c r="L52" s="26">
        <f>IF(VLOOKUP(Model,STDProdRange,'Standard Product'!$I$14,FALSE)&gt;0,R52,0)</f>
        <v>0</v>
      </c>
      <c r="M52" s="108" t="s">
        <v>75</v>
      </c>
      <c r="N52" s="107">
        <f t="shared" si="4"/>
        <v>0</v>
      </c>
      <c r="O52" s="109"/>
      <c r="R52" s="1">
        <f>IF($D$22&lt;7/12,0,(R53+$D$26*($D$37*$D$38*1/12)))</f>
        <v>0</v>
      </c>
    </row>
    <row r="53" spans="2:18" x14ac:dyDescent="0.25">
      <c r="B53" s="11"/>
      <c r="C53" s="19" t="s">
        <v>73</v>
      </c>
      <c r="D53" s="26">
        <f>'Design Data'!G29</f>
        <v>-0.66666666666666663</v>
      </c>
      <c r="E53" s="12"/>
      <c r="F53" s="97"/>
      <c r="G53" s="98"/>
      <c r="H53" s="99">
        <f t="shared" si="7"/>
        <v>-5.2499999999999982</v>
      </c>
      <c r="I53" s="100"/>
      <c r="J53" s="101">
        <v>0</v>
      </c>
      <c r="K53" s="98" t="s">
        <v>74</v>
      </c>
      <c r="L53" s="155">
        <f>IF(VLOOKUP(Model,STDProdRange,'Standard Product'!$I$14,FALSE)&gt;0,R53,0)</f>
        <v>0</v>
      </c>
      <c r="M53" s="98" t="s">
        <v>75</v>
      </c>
      <c r="N53" s="101">
        <f t="shared" si="4"/>
        <v>0</v>
      </c>
      <c r="O53" s="102"/>
      <c r="R53" s="1">
        <f>IF($D$22&lt;8/12,0,(R54+$D$26*($D$37*$D$38*1/12)))</f>
        <v>0</v>
      </c>
    </row>
    <row r="54" spans="2:18" x14ac:dyDescent="0.25">
      <c r="B54" s="11"/>
      <c r="C54" s="19" t="s">
        <v>49</v>
      </c>
      <c r="D54" s="26">
        <f>'Design Data'!G34</f>
        <v>-4.666666666666667</v>
      </c>
      <c r="E54" s="83"/>
      <c r="F54" s="91"/>
      <c r="G54" s="92"/>
      <c r="H54" s="93">
        <f t="shared" si="7"/>
        <v>-5.3333333333333313</v>
      </c>
      <c r="I54" s="94"/>
      <c r="J54" s="95">
        <v>0</v>
      </c>
      <c r="K54" s="92" t="s">
        <v>74</v>
      </c>
      <c r="L54" s="95">
        <f>IF(VLOOKUP(Model,STDProdRange,'Standard Product'!$I$14,FALSE)&gt;0,R54,0)</f>
        <v>0</v>
      </c>
      <c r="M54" s="92" t="s">
        <v>75</v>
      </c>
      <c r="N54" s="95">
        <f t="shared" si="4"/>
        <v>0</v>
      </c>
      <c r="O54" s="96"/>
      <c r="R54" s="1">
        <f>IF($D$22&lt;9/12,0,(R55+$D$26*($D$37*$D$38*1/12)))</f>
        <v>0</v>
      </c>
    </row>
    <row r="55" spans="2:18" x14ac:dyDescent="0.25">
      <c r="B55" s="11"/>
      <c r="C55" s="19" t="s">
        <v>119</v>
      </c>
      <c r="D55" s="26">
        <f>'Design Data'!G35</f>
        <v>-4.666666666666667</v>
      </c>
      <c r="E55" s="12"/>
      <c r="F55" s="91"/>
      <c r="G55" s="92"/>
      <c r="H55" s="93">
        <f t="shared" si="7"/>
        <v>-5.4166666666666643</v>
      </c>
      <c r="I55" s="94"/>
      <c r="J55" s="95">
        <v>0</v>
      </c>
      <c r="K55" s="92" t="s">
        <v>74</v>
      </c>
      <c r="L55" s="95">
        <f>IF(VLOOKUP(Model,STDProdRange,'Standard Product'!$I$14,FALSE)&gt;0,R55,0)</f>
        <v>0</v>
      </c>
      <c r="M55" s="92" t="s">
        <v>75</v>
      </c>
      <c r="N55" s="95">
        <f t="shared" si="4"/>
        <v>0</v>
      </c>
      <c r="O55" s="96"/>
      <c r="R55" s="1">
        <f>IF($D$22&lt;10/12,0,(R56+$D$26*($D$37*$D$38*1/12)))</f>
        <v>0</v>
      </c>
    </row>
    <row r="56" spans="2:18" ht="15.75" thickBot="1" x14ac:dyDescent="0.3">
      <c r="B56" s="13"/>
      <c r="C56" s="19" t="s">
        <v>120</v>
      </c>
      <c r="D56" s="26">
        <f>'Design Data'!G36</f>
        <v>-4.666666666666667</v>
      </c>
      <c r="E56" s="12"/>
      <c r="F56" s="91"/>
      <c r="G56" s="92"/>
      <c r="H56" s="93">
        <f t="shared" si="7"/>
        <v>-5.4999999999999973</v>
      </c>
      <c r="I56" s="94"/>
      <c r="J56" s="95">
        <v>0</v>
      </c>
      <c r="K56" s="92" t="s">
        <v>74</v>
      </c>
      <c r="L56" s="95">
        <f>IF(VLOOKUP(Model,STDProdRange,'Standard Product'!$I$14,FALSE)&gt;0,R56,0)</f>
        <v>0</v>
      </c>
      <c r="M56" s="92" t="s">
        <v>75</v>
      </c>
      <c r="N56" s="95">
        <f t="shared" si="4"/>
        <v>0</v>
      </c>
      <c r="O56" s="96"/>
      <c r="R56" s="1">
        <f>IF($D$22&lt;11/12,0,(R57+$D$26*($D$37*$D$38*1/12)))</f>
        <v>0</v>
      </c>
    </row>
    <row r="57" spans="2:18" ht="15.75" thickBot="1" x14ac:dyDescent="0.3">
      <c r="B57" s="58"/>
      <c r="C57" s="60" t="s">
        <v>2</v>
      </c>
      <c r="D57" s="61">
        <f>D48-D56</f>
        <v>4.666666666666667</v>
      </c>
      <c r="E57" s="12"/>
      <c r="F57" s="91"/>
      <c r="G57" s="92"/>
      <c r="H57" s="93">
        <f t="shared" si="7"/>
        <v>-5.5833333333333304</v>
      </c>
      <c r="I57" s="94"/>
      <c r="J57" s="95">
        <v>0</v>
      </c>
      <c r="K57" s="92" t="s">
        <v>74</v>
      </c>
      <c r="L57" s="95">
        <f>IF(VLOOKUP(Model,STDProdRange,'Standard Product'!$I$14,FALSE)&gt;0,R57,0)</f>
        <v>0</v>
      </c>
      <c r="M57" s="92" t="s">
        <v>75</v>
      </c>
      <c r="N57" s="95">
        <f t="shared" si="4"/>
        <v>0</v>
      </c>
      <c r="O57" s="96"/>
      <c r="R57" s="1">
        <f>IF($D$22&lt;12/12,0,(R58+$D$26*($D$37*$D$38*1/12)))</f>
        <v>0</v>
      </c>
    </row>
    <row r="58" spans="2:18" ht="15.75" thickBot="1" x14ac:dyDescent="0.3">
      <c r="B58" s="13"/>
      <c r="C58" s="14"/>
      <c r="D58" s="14"/>
      <c r="E58" s="15"/>
      <c r="F58" s="14"/>
      <c r="G58" s="78" t="s">
        <v>70</v>
      </c>
      <c r="H58" s="79">
        <f t="shared" si="7"/>
        <v>-5.6666666666666634</v>
      </c>
      <c r="I58" s="80"/>
      <c r="J58" s="81">
        <v>0</v>
      </c>
      <c r="K58" s="82" t="s">
        <v>74</v>
      </c>
      <c r="L58" s="81">
        <f>IF(VLOOKUP(Model,STDProdRange,'Standard Product'!$I$14,FALSE)&gt;0,R58,0)</f>
        <v>0</v>
      </c>
      <c r="M58" s="82" t="s">
        <v>75</v>
      </c>
      <c r="N58" s="81">
        <f t="shared" si="4"/>
        <v>0</v>
      </c>
      <c r="O58" s="15"/>
      <c r="R58" s="1">
        <f>IF($D$22&lt;13/12,0,(0+$D$26*($D$37*$D$38*1/12)))</f>
        <v>0</v>
      </c>
    </row>
    <row r="62" spans="2:18" x14ac:dyDescent="0.25">
      <c r="F62" s="76"/>
      <c r="G62" s="147"/>
    </row>
    <row r="63" spans="2:18" x14ac:dyDescent="0.25">
      <c r="F63" s="76"/>
      <c r="G63" s="147"/>
    </row>
    <row r="64" spans="2:18" x14ac:dyDescent="0.25">
      <c r="F64" s="76"/>
      <c r="G64" s="147"/>
    </row>
    <row r="65" spans="6:7" x14ac:dyDescent="0.25">
      <c r="F65" s="76"/>
      <c r="G65" s="147"/>
    </row>
  </sheetData>
  <mergeCells count="6">
    <mergeCell ref="C7:E7"/>
    <mergeCell ref="C8:E8"/>
    <mergeCell ref="C9:E9"/>
    <mergeCell ref="C4:E4"/>
    <mergeCell ref="C5:E5"/>
    <mergeCell ref="C6:E6"/>
  </mergeCells>
  <conditionalFormatting sqref="H9:H44">
    <cfRule type="cellIs" dxfId="1" priority="5" stopIfTrue="1" operator="greaterThan">
      <formula>$D$52</formula>
    </cfRule>
  </conditionalFormatting>
  <conditionalFormatting sqref="D34">
    <cfRule type="expression" dxfId="0" priority="1" stopIfTrue="1">
      <formula>IF(ModelType=3,TRUE,FALSE)</formula>
    </cfRule>
  </conditionalFormatting>
  <dataValidations xWindow="324" yWindow="460" count="1">
    <dataValidation type="whole" errorStyle="warning" allowBlank="1" showErrorMessage="1" error="Maximum elevation shown in calculator is higher than finish grade." prompt="Enter a value in inches for the starting point of the volume calculator.  Volume Calculator displays a range of 36&quot;." sqref="D13" xr:uid="{00000000-0002-0000-0300-000000000000}">
      <formula1>1</formula1>
      <formula2>((D16-D54)*12)-35</formula2>
    </dataValidation>
  </dataValidations>
  <pageMargins left="0.7" right="0.7" top="0.75" bottom="0.75" header="0.3" footer="0.3"/>
  <pageSetup scale="70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1">
    <pageSetUpPr fitToPage="1"/>
  </sheetPr>
  <dimension ref="A1:AF448"/>
  <sheetViews>
    <sheetView showGridLines="0" showRowColHeaders="0" zoomScale="90" zoomScaleNormal="90" workbookViewId="0">
      <pane ySplit="15" topLeftCell="A16" activePane="bottomLeft" state="frozen"/>
      <selection pane="bottomLeft" activeCell="B21" sqref="B21"/>
    </sheetView>
  </sheetViews>
  <sheetFormatPr defaultRowHeight="15" x14ac:dyDescent="0.25"/>
  <cols>
    <col min="1" max="1" width="9.28515625" customWidth="1"/>
    <col min="2" max="2" width="14.7109375" style="3" customWidth="1"/>
    <col min="3" max="3" width="19" style="4" customWidth="1"/>
    <col min="4" max="6" width="8.7109375" style="3" customWidth="1"/>
    <col min="7" max="7" width="10" style="3" customWidth="1"/>
    <col min="8" max="8" width="9.7109375" style="3" customWidth="1"/>
    <col min="9" max="9" width="6.7109375" style="138" customWidth="1"/>
    <col min="10" max="10" width="9.85546875" style="3" customWidth="1"/>
    <col min="11" max="11" width="6.7109375" style="138" customWidth="1"/>
    <col min="12" max="12" width="9.7109375" style="131" customWidth="1"/>
    <col min="13" max="13" width="6.7109375" style="138" customWidth="1"/>
    <col min="14" max="14" width="10.140625" style="3" customWidth="1"/>
    <col min="15" max="15" width="10.140625" style="138" customWidth="1"/>
    <col min="16" max="16" width="9.5703125" style="3" customWidth="1"/>
    <col min="17" max="18" width="6.7109375" customWidth="1"/>
    <col min="19" max="19" width="8.7109375" customWidth="1"/>
    <col min="20" max="20" width="8.7109375" style="133" customWidth="1"/>
    <col min="21" max="21" width="8.7109375" style="119" customWidth="1"/>
    <col min="22" max="22" width="10.85546875" style="131" customWidth="1"/>
    <col min="23" max="23" width="13.42578125" style="131" customWidth="1"/>
    <col min="24" max="24" width="10.85546875" style="131" customWidth="1"/>
    <col min="25" max="25" width="14.28515625" style="160" customWidth="1"/>
    <col min="26" max="26" width="18.7109375" style="160" customWidth="1"/>
    <col min="27" max="27" width="10.85546875" style="131" hidden="1" customWidth="1"/>
    <col min="28" max="28" width="10.5703125" style="131" hidden="1" customWidth="1"/>
    <col min="29" max="29" width="9.85546875" style="131" hidden="1" customWidth="1"/>
    <col min="30" max="30" width="6" hidden="1" customWidth="1"/>
    <col min="31" max="31" width="15.28515625" hidden="1" customWidth="1"/>
    <col min="32" max="32" width="7.28515625" hidden="1" customWidth="1"/>
    <col min="33" max="33" width="12" customWidth="1"/>
  </cols>
  <sheetData>
    <row r="1" spans="1:31" ht="18" customHeight="1" x14ac:dyDescent="0.35">
      <c r="H1" s="189" t="s">
        <v>27</v>
      </c>
      <c r="M1" s="235" t="s">
        <v>271</v>
      </c>
    </row>
    <row r="2" spans="1:31" s="133" customFormat="1" ht="15" customHeight="1" x14ac:dyDescent="0.25">
      <c r="A2" s="159"/>
      <c r="B2" s="159"/>
      <c r="C2" s="178" t="s">
        <v>136</v>
      </c>
      <c r="D2" s="165">
        <f>VLOOKUP($D$13,STDProdRange,T14,FALSE)</f>
        <v>0</v>
      </c>
      <c r="E2" s="150"/>
      <c r="F2" s="164">
        <f>VLOOKUP($D$13,STDProdRange,S14,FALSE)</f>
        <v>0</v>
      </c>
      <c r="G2" s="176" t="s">
        <v>104</v>
      </c>
      <c r="H2" s="138"/>
      <c r="J2" s="138"/>
      <c r="K2" s="163">
        <f>VLOOKUP($D$13,STDProdRange,J14,FALSE)</f>
        <v>0</v>
      </c>
      <c r="L2" s="177" t="s">
        <v>135</v>
      </c>
      <c r="N2" s="2" t="s">
        <v>140</v>
      </c>
      <c r="O2" s="138"/>
      <c r="P2" s="188"/>
      <c r="Q2" s="188"/>
      <c r="R2" s="188"/>
      <c r="S2" s="188"/>
      <c r="T2" s="188"/>
      <c r="U2" s="188"/>
      <c r="V2" s="188"/>
      <c r="W2" s="188"/>
      <c r="X2" s="188"/>
      <c r="Y2" s="185"/>
      <c r="Z2" s="185"/>
    </row>
    <row r="3" spans="1:31" s="133" customFormat="1" x14ac:dyDescent="0.25">
      <c r="A3" s="159"/>
      <c r="B3" s="159"/>
      <c r="C3" s="159"/>
      <c r="D3" s="159"/>
      <c r="E3" s="150"/>
      <c r="F3" s="138"/>
      <c r="G3" s="150"/>
      <c r="H3" s="138"/>
      <c r="I3" s="150"/>
      <c r="J3" s="138"/>
      <c r="K3" s="181" t="s">
        <v>139</v>
      </c>
      <c r="O3" s="4" t="s">
        <v>87</v>
      </c>
      <c r="P3" s="188"/>
      <c r="Q3" s="188"/>
      <c r="R3" s="188"/>
      <c r="S3" s="188"/>
      <c r="T3" s="188"/>
      <c r="U3" s="188"/>
      <c r="V3" s="188"/>
      <c r="W3" s="188"/>
      <c r="X3" s="188"/>
      <c r="Y3" s="185"/>
      <c r="Z3" s="185"/>
      <c r="AC3" s="131"/>
    </row>
    <row r="4" spans="1:31" s="133" customFormat="1" ht="15" customHeight="1" x14ac:dyDescent="0.25">
      <c r="A4" s="178" t="s">
        <v>98</v>
      </c>
      <c r="B4" s="162">
        <f>VLOOKUP($D$13,STDProdRange,D14,FALSE)</f>
        <v>0</v>
      </c>
      <c r="C4" s="159"/>
      <c r="D4" s="159"/>
      <c r="E4" s="150"/>
      <c r="F4" s="138"/>
      <c r="G4" s="150"/>
      <c r="H4" s="138"/>
      <c r="I4" s="150"/>
      <c r="J4" s="138"/>
      <c r="K4" s="150"/>
      <c r="O4" s="194" t="s">
        <v>157</v>
      </c>
      <c r="P4" s="161"/>
      <c r="Q4" s="161"/>
      <c r="R4" s="161"/>
      <c r="S4" s="161"/>
      <c r="T4" s="161"/>
      <c r="U4" s="161"/>
    </row>
    <row r="5" spans="1:31" s="133" customFormat="1" ht="15" customHeight="1" x14ac:dyDescent="0.25">
      <c r="C5" s="159"/>
      <c r="D5" s="159"/>
      <c r="F5" s="179" t="s">
        <v>138</v>
      </c>
      <c r="G5" s="165">
        <f>VLOOKUP($D$13,STDProdRange,G14,FALSE)</f>
        <v>8</v>
      </c>
      <c r="H5" s="138"/>
      <c r="J5" s="138"/>
      <c r="K5" s="150"/>
      <c r="O5" s="133" t="s">
        <v>158</v>
      </c>
      <c r="P5" s="161"/>
      <c r="Q5" s="161"/>
      <c r="R5" s="161"/>
      <c r="S5" s="161"/>
      <c r="T5" s="161"/>
      <c r="U5" s="161"/>
    </row>
    <row r="6" spans="1:31" s="133" customFormat="1" x14ac:dyDescent="0.25">
      <c r="A6" s="159"/>
      <c r="B6" s="159"/>
      <c r="C6" s="159"/>
      <c r="D6" s="159"/>
      <c r="E6" s="150"/>
      <c r="F6" s="138"/>
      <c r="G6" s="150"/>
      <c r="H6" s="138"/>
      <c r="I6" s="150"/>
      <c r="J6" s="138"/>
      <c r="K6" s="150"/>
      <c r="O6" s="118" t="s">
        <v>126</v>
      </c>
      <c r="V6" s="150"/>
      <c r="W6" s="150"/>
      <c r="X6" s="150"/>
      <c r="Y6" s="160"/>
      <c r="Z6" s="160"/>
      <c r="AA6" s="150"/>
      <c r="AB6" s="150"/>
      <c r="AC6" s="150"/>
    </row>
    <row r="7" spans="1:31" s="133" customFormat="1" x14ac:dyDescent="0.25">
      <c r="A7" s="159"/>
      <c r="B7" s="159"/>
      <c r="C7" s="159"/>
      <c r="D7" s="159"/>
      <c r="E7" s="150"/>
      <c r="F7" s="138"/>
      <c r="G7" s="150"/>
      <c r="H7" s="138"/>
      <c r="I7" s="150"/>
      <c r="J7" s="138"/>
      <c r="K7" s="150"/>
      <c r="O7" s="4" t="s">
        <v>153</v>
      </c>
      <c r="V7" s="150"/>
      <c r="W7" s="150"/>
      <c r="X7" s="150"/>
      <c r="Y7" s="160"/>
      <c r="Z7" s="160"/>
      <c r="AA7" s="150"/>
      <c r="AB7" s="150"/>
      <c r="AC7" s="150"/>
    </row>
    <row r="8" spans="1:31" s="133" customFormat="1" x14ac:dyDescent="0.25">
      <c r="A8" s="159"/>
      <c r="B8" s="159"/>
      <c r="C8" s="159"/>
      <c r="D8" s="159"/>
      <c r="E8" s="180" t="s">
        <v>137</v>
      </c>
      <c r="F8" s="138"/>
      <c r="G8" s="150"/>
      <c r="H8" s="138"/>
      <c r="I8" s="150"/>
      <c r="J8" s="138"/>
      <c r="K8" s="150"/>
      <c r="O8" s="133" t="s">
        <v>156</v>
      </c>
      <c r="V8" s="150"/>
      <c r="W8" s="150"/>
      <c r="X8" s="150"/>
      <c r="Y8" s="160"/>
      <c r="Z8" s="160"/>
      <c r="AA8" s="150"/>
      <c r="AB8" s="150"/>
      <c r="AC8" s="150"/>
    </row>
    <row r="9" spans="1:31" s="133" customFormat="1" x14ac:dyDescent="0.25">
      <c r="A9" s="164">
        <f>VLOOKUP($D$13,STDProdRange,N14,FALSE)</f>
        <v>8</v>
      </c>
      <c r="B9" s="159"/>
      <c r="C9" s="162">
        <f>VLOOKUP($D$13,STDProdRange,F14,FALSE)</f>
        <v>8</v>
      </c>
      <c r="E9" s="165">
        <f>VLOOKUP($D$13,STDProdRange,L14,FALSE)</f>
        <v>8</v>
      </c>
      <c r="F9" s="138"/>
      <c r="G9" s="179" t="s">
        <v>149</v>
      </c>
      <c r="H9" s="138"/>
      <c r="I9" s="150"/>
      <c r="J9" s="138"/>
      <c r="K9" s="150"/>
      <c r="O9" s="4" t="s">
        <v>154</v>
      </c>
      <c r="V9" s="150"/>
      <c r="W9" s="150"/>
      <c r="X9" s="150"/>
      <c r="Y9" s="160"/>
      <c r="Z9" s="160"/>
      <c r="AA9" s="150"/>
      <c r="AB9" s="150"/>
      <c r="AC9" s="150"/>
    </row>
    <row r="10" spans="1:31" s="133" customFormat="1" x14ac:dyDescent="0.25">
      <c r="A10" s="176" t="s">
        <v>127</v>
      </c>
      <c r="B10" s="159"/>
      <c r="C10" s="182" t="s">
        <v>141</v>
      </c>
      <c r="D10" s="159"/>
      <c r="E10" s="150"/>
      <c r="F10" s="138"/>
      <c r="G10" s="165">
        <f>VLOOKUP($D$13,STDProdRange,H14,FALSE)</f>
        <v>8</v>
      </c>
      <c r="H10" s="138"/>
      <c r="I10" s="187">
        <f>VLOOKUP($D$13,STDProdRange,E14,FALSE)</f>
        <v>10</v>
      </c>
      <c r="J10" s="186" t="s">
        <v>148</v>
      </c>
      <c r="K10" s="150"/>
      <c r="O10" s="133" t="s">
        <v>155</v>
      </c>
      <c r="V10" s="150"/>
      <c r="W10" s="150"/>
      <c r="X10" s="150"/>
      <c r="Y10" s="160"/>
      <c r="Z10" s="160"/>
      <c r="AA10" s="150"/>
      <c r="AB10" s="150"/>
      <c r="AC10" s="150"/>
    </row>
    <row r="11" spans="1:31" s="133" customFormat="1" x14ac:dyDescent="0.25">
      <c r="B11" s="159"/>
      <c r="C11" s="159"/>
      <c r="D11" s="159"/>
      <c r="E11" s="159"/>
      <c r="F11" s="159"/>
      <c r="G11" s="159"/>
      <c r="H11" s="150"/>
      <c r="I11" s="138"/>
      <c r="J11" s="150"/>
      <c r="K11" s="138"/>
      <c r="L11" s="150"/>
      <c r="M11" s="138"/>
      <c r="N11" s="150"/>
      <c r="V11" s="150"/>
      <c r="W11" s="150"/>
      <c r="X11" s="150"/>
      <c r="Y11" s="160"/>
      <c r="Z11" s="160"/>
      <c r="AA11" s="150"/>
      <c r="AB11" s="150"/>
      <c r="AC11" s="150"/>
    </row>
    <row r="12" spans="1:31" s="133" customFormat="1" x14ac:dyDescent="0.25">
      <c r="B12" s="159"/>
      <c r="C12" s="159"/>
      <c r="D12" s="159"/>
      <c r="E12" s="159"/>
      <c r="F12" s="159"/>
      <c r="G12" s="159"/>
      <c r="H12" s="150"/>
      <c r="I12" s="138"/>
      <c r="J12" s="150"/>
      <c r="K12" s="138"/>
      <c r="L12" s="150"/>
      <c r="M12" s="138"/>
      <c r="N12" s="150"/>
      <c r="V12" s="150"/>
      <c r="W12" s="150"/>
      <c r="X12" s="150"/>
      <c r="Y12" s="160"/>
      <c r="Z12" s="160"/>
      <c r="AA12" s="150"/>
      <c r="AB12" s="150"/>
      <c r="AC12" s="150"/>
    </row>
    <row r="13" spans="1:31" s="133" customFormat="1" ht="15" customHeight="1" thickBot="1" x14ac:dyDescent="0.3">
      <c r="B13" s="4"/>
      <c r="C13" s="2" t="s">
        <v>268</v>
      </c>
      <c r="D13" s="257" t="s">
        <v>88</v>
      </c>
      <c r="E13" s="257"/>
      <c r="F13" s="160"/>
      <c r="G13" s="160"/>
      <c r="H13" s="160"/>
      <c r="I13" s="138"/>
      <c r="J13" s="160"/>
      <c r="K13" s="138"/>
      <c r="L13" s="160"/>
      <c r="M13" s="138"/>
      <c r="N13" s="160"/>
      <c r="O13" s="138"/>
      <c r="P13" s="4"/>
      <c r="U13" s="119"/>
      <c r="V13" s="160"/>
      <c r="W13" s="160"/>
      <c r="X13" s="160"/>
      <c r="Y13" s="160"/>
      <c r="Z13" s="160"/>
      <c r="AA13" s="160"/>
      <c r="AB13" s="160"/>
      <c r="AC13" s="160"/>
    </row>
    <row r="14" spans="1:31" ht="14.25" hidden="1" customHeight="1" thickBot="1" x14ac:dyDescent="0.3">
      <c r="B14" s="3">
        <v>1</v>
      </c>
      <c r="C14" s="131">
        <v>2</v>
      </c>
      <c r="D14" s="3">
        <v>3</v>
      </c>
      <c r="E14" s="3">
        <v>4</v>
      </c>
      <c r="F14" s="3">
        <v>5</v>
      </c>
      <c r="G14" s="3">
        <v>6</v>
      </c>
      <c r="H14" s="3">
        <v>7</v>
      </c>
      <c r="I14" s="3">
        <v>8</v>
      </c>
      <c r="J14" s="141">
        <v>9</v>
      </c>
      <c r="K14" s="3">
        <v>10</v>
      </c>
      <c r="L14" s="141">
        <v>11</v>
      </c>
      <c r="M14" s="3">
        <v>12</v>
      </c>
      <c r="N14" s="3">
        <v>13</v>
      </c>
      <c r="O14" s="3">
        <v>14</v>
      </c>
      <c r="P14" s="3">
        <v>15</v>
      </c>
      <c r="Q14" s="135">
        <v>16</v>
      </c>
      <c r="R14" s="135">
        <v>17</v>
      </c>
      <c r="S14" s="135">
        <v>18</v>
      </c>
      <c r="T14" s="135">
        <v>19</v>
      </c>
      <c r="U14" s="135">
        <v>20</v>
      </c>
      <c r="V14" s="135">
        <v>21</v>
      </c>
      <c r="W14" s="135">
        <v>22</v>
      </c>
      <c r="X14" s="135">
        <v>23</v>
      </c>
      <c r="Y14" s="135">
        <v>24</v>
      </c>
      <c r="Z14" s="135">
        <v>25</v>
      </c>
      <c r="AA14" s="135">
        <v>26</v>
      </c>
      <c r="AB14" s="135">
        <v>27</v>
      </c>
      <c r="AC14" s="131">
        <v>28</v>
      </c>
    </row>
    <row r="15" spans="1:31" s="229" customFormat="1" ht="53.25" customHeight="1" thickBot="1" x14ac:dyDescent="0.25">
      <c r="B15" s="230" t="s">
        <v>86</v>
      </c>
      <c r="C15" s="230" t="s">
        <v>95</v>
      </c>
      <c r="D15" s="230" t="s">
        <v>214</v>
      </c>
      <c r="E15" s="230" t="s">
        <v>215</v>
      </c>
      <c r="F15" s="230" t="s">
        <v>216</v>
      </c>
      <c r="G15" s="230" t="s">
        <v>128</v>
      </c>
      <c r="H15" s="230" t="s">
        <v>255</v>
      </c>
      <c r="I15" s="231" t="s">
        <v>101</v>
      </c>
      <c r="J15" s="230" t="s">
        <v>130</v>
      </c>
      <c r="K15" s="231" t="s">
        <v>102</v>
      </c>
      <c r="L15" s="230" t="s">
        <v>134</v>
      </c>
      <c r="M15" s="231" t="s">
        <v>103</v>
      </c>
      <c r="N15" s="230" t="s">
        <v>131</v>
      </c>
      <c r="O15" s="231" t="s">
        <v>106</v>
      </c>
      <c r="P15" s="230" t="s">
        <v>217</v>
      </c>
      <c r="Q15" s="230" t="s">
        <v>218</v>
      </c>
      <c r="R15" s="230" t="s">
        <v>219</v>
      </c>
      <c r="S15" s="230" t="s">
        <v>132</v>
      </c>
      <c r="T15" s="230" t="s">
        <v>133</v>
      </c>
      <c r="U15" s="232" t="s">
        <v>85</v>
      </c>
      <c r="V15" s="233"/>
      <c r="W15" s="233"/>
      <c r="X15" s="233"/>
      <c r="Y15" s="233"/>
      <c r="Z15" s="233"/>
      <c r="AA15" s="234" t="s">
        <v>99</v>
      </c>
      <c r="AB15" s="233" t="s">
        <v>125</v>
      </c>
      <c r="AC15" s="233" t="s">
        <v>94</v>
      </c>
      <c r="AE15" s="229" t="s">
        <v>95</v>
      </c>
    </row>
    <row r="16" spans="1:31" ht="3" customHeight="1" x14ac:dyDescent="0.25">
      <c r="B16" s="123"/>
      <c r="C16" s="142"/>
      <c r="D16" s="124"/>
      <c r="E16" s="124"/>
      <c r="F16" s="124"/>
      <c r="G16" s="174"/>
      <c r="H16" s="174"/>
      <c r="I16" s="139"/>
      <c r="J16" s="174"/>
      <c r="K16" s="139"/>
      <c r="L16" s="174"/>
      <c r="M16" s="139"/>
      <c r="N16" s="174"/>
      <c r="O16" s="139"/>
      <c r="P16" s="124"/>
      <c r="Q16" s="125"/>
      <c r="R16" s="125"/>
      <c r="S16" s="171"/>
      <c r="T16" s="171"/>
      <c r="U16" s="126"/>
      <c r="AA16" s="49">
        <f>D16+J16/6</f>
        <v>0</v>
      </c>
      <c r="AB16" s="49">
        <f>D16+(J16+N16)/12</f>
        <v>0</v>
      </c>
      <c r="AC16" s="131" t="e">
        <f t="shared" ref="AC16:AC79" si="0">VLOOKUP(C16,ChamberType,2,FALSE)</f>
        <v>#N/A</v>
      </c>
      <c r="AE16" s="133" t="s">
        <v>96</v>
      </c>
    </row>
    <row r="17" spans="1:32" x14ac:dyDescent="0.25">
      <c r="A17" s="133" t="s">
        <v>29</v>
      </c>
      <c r="B17" s="123" t="s">
        <v>28</v>
      </c>
      <c r="C17" s="142" t="s">
        <v>212</v>
      </c>
      <c r="D17" s="124">
        <v>5</v>
      </c>
      <c r="E17" s="124">
        <v>6</v>
      </c>
      <c r="F17" s="124">
        <v>5.25</v>
      </c>
      <c r="G17" s="174">
        <v>8</v>
      </c>
      <c r="H17" s="174">
        <v>8</v>
      </c>
      <c r="I17" s="139">
        <v>0</v>
      </c>
      <c r="J17" s="174">
        <v>8</v>
      </c>
      <c r="K17" s="139">
        <v>0</v>
      </c>
      <c r="L17" s="174">
        <v>8</v>
      </c>
      <c r="M17" s="139">
        <v>0</v>
      </c>
      <c r="N17" s="174">
        <v>8</v>
      </c>
      <c r="O17" s="139">
        <v>0</v>
      </c>
      <c r="P17" s="124">
        <v>1.5</v>
      </c>
      <c r="Q17" s="125">
        <v>0</v>
      </c>
      <c r="R17" s="125">
        <v>0</v>
      </c>
      <c r="S17" s="171">
        <v>0</v>
      </c>
      <c r="T17" s="171">
        <v>0</v>
      </c>
      <c r="U17" s="126"/>
      <c r="AA17" s="49">
        <f t="shared" ref="AA17:AA80" si="1">D17+J17/6</f>
        <v>6.333333333333333</v>
      </c>
      <c r="AB17" s="49">
        <f t="shared" ref="AB17:AB80" si="2">D17+(J17+N17)/12</f>
        <v>6.333333333333333</v>
      </c>
      <c r="AC17" s="131">
        <f t="shared" si="0"/>
        <v>1</v>
      </c>
      <c r="AE17" s="133" t="s">
        <v>212</v>
      </c>
      <c r="AF17" s="133">
        <v>1</v>
      </c>
    </row>
    <row r="18" spans="1:32" x14ac:dyDescent="0.25">
      <c r="B18" s="127" t="s">
        <v>116</v>
      </c>
      <c r="C18" s="183" t="s">
        <v>212</v>
      </c>
      <c r="D18" s="128">
        <v>4</v>
      </c>
      <c r="E18" s="128">
        <v>4</v>
      </c>
      <c r="F18" s="128">
        <v>4</v>
      </c>
      <c r="G18" s="175">
        <v>8</v>
      </c>
      <c r="H18" s="175">
        <v>0</v>
      </c>
      <c r="I18" s="140">
        <v>1</v>
      </c>
      <c r="J18" s="175">
        <v>4</v>
      </c>
      <c r="K18" s="140">
        <v>0.75</v>
      </c>
      <c r="L18" s="175">
        <v>4</v>
      </c>
      <c r="M18" s="140">
        <v>0.4</v>
      </c>
      <c r="N18" s="175">
        <v>4</v>
      </c>
      <c r="O18" s="140">
        <v>0.4</v>
      </c>
      <c r="P18" s="128">
        <v>1</v>
      </c>
      <c r="Q18" s="129">
        <v>0</v>
      </c>
      <c r="R18" s="129">
        <v>1</v>
      </c>
      <c r="S18" s="172">
        <v>6</v>
      </c>
      <c r="T18" s="172">
        <v>0</v>
      </c>
      <c r="U18" s="184"/>
      <c r="AA18" s="49">
        <f>D18+J18/6</f>
        <v>4.666666666666667</v>
      </c>
      <c r="AB18" s="49">
        <f>D18+(J18+N18)/12</f>
        <v>4.666666666666667</v>
      </c>
      <c r="AC18" s="131">
        <f>VLOOKUP(C18,ChamberType,2,FALSE)</f>
        <v>1</v>
      </c>
      <c r="AE18" s="133" t="s">
        <v>213</v>
      </c>
      <c r="AF18" s="133">
        <v>3</v>
      </c>
    </row>
    <row r="19" spans="1:32" x14ac:dyDescent="0.25">
      <c r="B19" s="127" t="s">
        <v>88</v>
      </c>
      <c r="C19" s="183" t="s">
        <v>93</v>
      </c>
      <c r="D19" s="128">
        <v>0</v>
      </c>
      <c r="E19" s="128">
        <v>10</v>
      </c>
      <c r="F19" s="128">
        <v>8</v>
      </c>
      <c r="G19" s="175">
        <v>8</v>
      </c>
      <c r="H19" s="175">
        <v>8</v>
      </c>
      <c r="I19" s="140">
        <v>0</v>
      </c>
      <c r="J19" s="175">
        <v>0</v>
      </c>
      <c r="K19" s="140">
        <v>1</v>
      </c>
      <c r="L19" s="175">
        <v>8</v>
      </c>
      <c r="M19" s="140">
        <v>0</v>
      </c>
      <c r="N19" s="175">
        <v>8</v>
      </c>
      <c r="O19" s="140">
        <v>0</v>
      </c>
      <c r="P19" s="128">
        <v>1</v>
      </c>
      <c r="Q19" s="129">
        <v>0</v>
      </c>
      <c r="R19" s="129">
        <v>0</v>
      </c>
      <c r="S19" s="172">
        <v>0</v>
      </c>
      <c r="T19" s="172">
        <v>0</v>
      </c>
      <c r="U19" s="184"/>
      <c r="AA19" s="49">
        <f>D19+J19/6</f>
        <v>0</v>
      </c>
      <c r="AB19" s="49">
        <f>D19+(J19+N19)/12</f>
        <v>0.66666666666666663</v>
      </c>
      <c r="AC19" s="131">
        <f>VLOOKUP(C19,ChamberType,2,FALSE)</f>
        <v>2</v>
      </c>
      <c r="AE19" s="133" t="s">
        <v>93</v>
      </c>
      <c r="AF19" s="133">
        <v>2</v>
      </c>
    </row>
    <row r="20" spans="1:32" x14ac:dyDescent="0.25">
      <c r="B20" s="127" t="s">
        <v>239</v>
      </c>
      <c r="C20" s="183" t="s">
        <v>213</v>
      </c>
      <c r="D20" s="128">
        <v>7</v>
      </c>
      <c r="E20" s="128">
        <v>7</v>
      </c>
      <c r="F20" s="128">
        <v>4</v>
      </c>
      <c r="G20" s="175">
        <v>8</v>
      </c>
      <c r="H20" s="175">
        <v>0</v>
      </c>
      <c r="I20" s="140">
        <v>1</v>
      </c>
      <c r="J20" s="175">
        <v>6</v>
      </c>
      <c r="K20" s="140">
        <v>0.3</v>
      </c>
      <c r="L20" s="175">
        <v>6</v>
      </c>
      <c r="M20" s="140">
        <v>0.3</v>
      </c>
      <c r="N20" s="175">
        <v>6</v>
      </c>
      <c r="O20" s="140">
        <v>0.3</v>
      </c>
      <c r="P20" s="128">
        <v>1</v>
      </c>
      <c r="Q20" s="129">
        <v>0</v>
      </c>
      <c r="R20" s="129">
        <v>1</v>
      </c>
      <c r="S20" s="172">
        <v>6</v>
      </c>
      <c r="T20" s="172">
        <v>6</v>
      </c>
      <c r="U20" s="184"/>
      <c r="AA20" s="49">
        <f t="shared" si="1"/>
        <v>8</v>
      </c>
      <c r="AB20" s="49">
        <f t="shared" si="2"/>
        <v>8</v>
      </c>
      <c r="AC20" s="131">
        <f t="shared" si="0"/>
        <v>3</v>
      </c>
      <c r="AE20" s="133" t="s">
        <v>92</v>
      </c>
      <c r="AF20" s="133">
        <v>2</v>
      </c>
    </row>
    <row r="21" spans="1:32" x14ac:dyDescent="0.25">
      <c r="B21" s="127"/>
      <c r="C21" s="183"/>
      <c r="D21" s="128"/>
      <c r="E21" s="128"/>
      <c r="F21" s="128"/>
      <c r="G21" s="175"/>
      <c r="H21" s="175"/>
      <c r="I21" s="140"/>
      <c r="J21" s="175"/>
      <c r="K21" s="140"/>
      <c r="L21" s="175"/>
      <c r="M21" s="140"/>
      <c r="N21" s="175"/>
      <c r="O21" s="140"/>
      <c r="P21" s="128"/>
      <c r="Q21" s="129"/>
      <c r="R21" s="129"/>
      <c r="S21" s="172"/>
      <c r="T21" s="172"/>
      <c r="U21" s="184"/>
      <c r="AA21" s="49">
        <f t="shared" si="1"/>
        <v>0</v>
      </c>
      <c r="AB21" s="49">
        <f t="shared" si="2"/>
        <v>0</v>
      </c>
      <c r="AC21" s="131" t="e">
        <f t="shared" si="0"/>
        <v>#N/A</v>
      </c>
    </row>
    <row r="22" spans="1:32" x14ac:dyDescent="0.25">
      <c r="B22" s="127"/>
      <c r="C22" s="183"/>
      <c r="D22" s="128"/>
      <c r="E22" s="128"/>
      <c r="F22" s="128"/>
      <c r="G22" s="175"/>
      <c r="H22" s="175"/>
      <c r="I22" s="140"/>
      <c r="J22" s="175"/>
      <c r="K22" s="140"/>
      <c r="L22" s="175"/>
      <c r="M22" s="140"/>
      <c r="N22" s="175"/>
      <c r="O22" s="140"/>
      <c r="P22" s="128"/>
      <c r="Q22" s="129"/>
      <c r="R22" s="129"/>
      <c r="S22" s="172"/>
      <c r="T22" s="172"/>
      <c r="U22" s="184"/>
      <c r="AA22" s="49">
        <f t="shared" si="1"/>
        <v>0</v>
      </c>
      <c r="AB22" s="49">
        <f t="shared" si="2"/>
        <v>0</v>
      </c>
      <c r="AC22" s="131" t="e">
        <f t="shared" si="0"/>
        <v>#N/A</v>
      </c>
    </row>
    <row r="23" spans="1:32" x14ac:dyDescent="0.25">
      <c r="B23" s="127"/>
      <c r="C23" s="183"/>
      <c r="D23" s="128"/>
      <c r="E23" s="128"/>
      <c r="F23" s="128"/>
      <c r="G23" s="175"/>
      <c r="H23" s="175"/>
      <c r="I23" s="140"/>
      <c r="J23" s="175"/>
      <c r="K23" s="140"/>
      <c r="L23" s="175"/>
      <c r="M23" s="140"/>
      <c r="N23" s="175"/>
      <c r="O23" s="140"/>
      <c r="P23" s="128"/>
      <c r="Q23" s="130"/>
      <c r="R23" s="130"/>
      <c r="S23" s="173"/>
      <c r="T23" s="173"/>
      <c r="U23" s="184"/>
      <c r="AA23" s="49">
        <f t="shared" si="1"/>
        <v>0</v>
      </c>
      <c r="AB23" s="49">
        <f t="shared" si="2"/>
        <v>0</v>
      </c>
      <c r="AC23" s="131" t="e">
        <f t="shared" si="0"/>
        <v>#N/A</v>
      </c>
    </row>
    <row r="24" spans="1:32" x14ac:dyDescent="0.25">
      <c r="B24" s="127"/>
      <c r="C24" s="183"/>
      <c r="D24" s="128"/>
      <c r="E24" s="128"/>
      <c r="F24" s="128"/>
      <c r="G24" s="175"/>
      <c r="H24" s="175"/>
      <c r="I24" s="140"/>
      <c r="J24" s="175"/>
      <c r="K24" s="140"/>
      <c r="L24" s="175"/>
      <c r="M24" s="140"/>
      <c r="N24" s="175"/>
      <c r="O24" s="140"/>
      <c r="P24" s="128"/>
      <c r="Q24" s="130"/>
      <c r="R24" s="130"/>
      <c r="S24" s="173"/>
      <c r="T24" s="173"/>
      <c r="U24" s="184"/>
      <c r="AA24" s="49">
        <f t="shared" si="1"/>
        <v>0</v>
      </c>
      <c r="AB24" s="49">
        <f t="shared" si="2"/>
        <v>0</v>
      </c>
      <c r="AC24" s="131" t="e">
        <f t="shared" si="0"/>
        <v>#N/A</v>
      </c>
    </row>
    <row r="25" spans="1:32" x14ac:dyDescent="0.25">
      <c r="B25" s="127"/>
      <c r="C25" s="183"/>
      <c r="D25" s="128"/>
      <c r="E25" s="128"/>
      <c r="F25" s="128"/>
      <c r="G25" s="175"/>
      <c r="H25" s="175"/>
      <c r="I25" s="140"/>
      <c r="J25" s="175"/>
      <c r="K25" s="140"/>
      <c r="L25" s="175"/>
      <c r="M25" s="140"/>
      <c r="N25" s="175"/>
      <c r="O25" s="140"/>
      <c r="P25" s="128"/>
      <c r="Q25" s="130"/>
      <c r="R25" s="130"/>
      <c r="S25" s="173"/>
      <c r="T25" s="173"/>
      <c r="U25" s="184"/>
      <c r="AA25" s="49">
        <f t="shared" si="1"/>
        <v>0</v>
      </c>
      <c r="AB25" s="49">
        <f t="shared" si="2"/>
        <v>0</v>
      </c>
      <c r="AC25" s="131" t="e">
        <f t="shared" si="0"/>
        <v>#N/A</v>
      </c>
    </row>
    <row r="26" spans="1:32" x14ac:dyDescent="0.25">
      <c r="B26" s="127"/>
      <c r="C26" s="183"/>
      <c r="D26" s="128"/>
      <c r="E26" s="128"/>
      <c r="F26" s="128"/>
      <c r="G26" s="175"/>
      <c r="H26" s="175"/>
      <c r="I26" s="140"/>
      <c r="J26" s="175"/>
      <c r="K26" s="140"/>
      <c r="L26" s="175"/>
      <c r="M26" s="140"/>
      <c r="N26" s="175"/>
      <c r="O26" s="140"/>
      <c r="P26" s="128"/>
      <c r="Q26" s="130"/>
      <c r="R26" s="130"/>
      <c r="S26" s="173"/>
      <c r="T26" s="173"/>
      <c r="U26" s="184"/>
      <c r="AA26" s="49">
        <f t="shared" si="1"/>
        <v>0</v>
      </c>
      <c r="AB26" s="49">
        <f t="shared" si="2"/>
        <v>0</v>
      </c>
      <c r="AC26" s="131" t="e">
        <f t="shared" si="0"/>
        <v>#N/A</v>
      </c>
    </row>
    <row r="27" spans="1:32" x14ac:dyDescent="0.25">
      <c r="B27" s="127"/>
      <c r="C27" s="183"/>
      <c r="D27" s="128"/>
      <c r="E27" s="128"/>
      <c r="F27" s="128"/>
      <c r="G27" s="175"/>
      <c r="H27" s="175"/>
      <c r="I27" s="140"/>
      <c r="J27" s="175"/>
      <c r="K27" s="140"/>
      <c r="L27" s="175"/>
      <c r="M27" s="140"/>
      <c r="N27" s="175"/>
      <c r="O27" s="140"/>
      <c r="P27" s="128"/>
      <c r="Q27" s="130"/>
      <c r="R27" s="130"/>
      <c r="S27" s="173"/>
      <c r="T27" s="173"/>
      <c r="U27" s="184"/>
      <c r="AA27" s="49">
        <f t="shared" si="1"/>
        <v>0</v>
      </c>
      <c r="AB27" s="49">
        <f t="shared" si="2"/>
        <v>0</v>
      </c>
      <c r="AC27" s="131" t="e">
        <f t="shared" si="0"/>
        <v>#N/A</v>
      </c>
    </row>
    <row r="28" spans="1:32" x14ac:dyDescent="0.25">
      <c r="B28" s="127"/>
      <c r="C28" s="183"/>
      <c r="D28" s="128"/>
      <c r="E28" s="128"/>
      <c r="F28" s="128"/>
      <c r="G28" s="175"/>
      <c r="H28" s="175"/>
      <c r="I28" s="140"/>
      <c r="J28" s="175"/>
      <c r="K28" s="140"/>
      <c r="L28" s="175"/>
      <c r="M28" s="140"/>
      <c r="N28" s="175"/>
      <c r="O28" s="140"/>
      <c r="P28" s="128"/>
      <c r="Q28" s="130"/>
      <c r="R28" s="130"/>
      <c r="S28" s="173"/>
      <c r="T28" s="173"/>
      <c r="U28" s="184"/>
      <c r="AA28" s="49">
        <f t="shared" si="1"/>
        <v>0</v>
      </c>
      <c r="AB28" s="49">
        <f t="shared" si="2"/>
        <v>0</v>
      </c>
      <c r="AC28" s="131" t="e">
        <f t="shared" si="0"/>
        <v>#N/A</v>
      </c>
    </row>
    <row r="29" spans="1:32" x14ac:dyDescent="0.25">
      <c r="B29" s="127"/>
      <c r="C29" s="183"/>
      <c r="D29" s="128"/>
      <c r="E29" s="128"/>
      <c r="F29" s="128"/>
      <c r="G29" s="175"/>
      <c r="H29" s="175"/>
      <c r="I29" s="140"/>
      <c r="J29" s="175"/>
      <c r="K29" s="140"/>
      <c r="L29" s="175"/>
      <c r="M29" s="140"/>
      <c r="N29" s="175"/>
      <c r="O29" s="140"/>
      <c r="P29" s="128"/>
      <c r="Q29" s="130"/>
      <c r="R29" s="130"/>
      <c r="S29" s="173"/>
      <c r="T29" s="173"/>
      <c r="U29" s="184"/>
      <c r="AA29" s="49">
        <f t="shared" si="1"/>
        <v>0</v>
      </c>
      <c r="AB29" s="49">
        <f t="shared" si="2"/>
        <v>0</v>
      </c>
      <c r="AC29" s="131" t="e">
        <f t="shared" si="0"/>
        <v>#N/A</v>
      </c>
    </row>
    <row r="30" spans="1:32" x14ac:dyDescent="0.25">
      <c r="B30" s="127"/>
      <c r="C30" s="183"/>
      <c r="D30" s="128"/>
      <c r="E30" s="128"/>
      <c r="F30" s="128"/>
      <c r="G30" s="175"/>
      <c r="H30" s="175"/>
      <c r="I30" s="140"/>
      <c r="J30" s="175"/>
      <c r="K30" s="140"/>
      <c r="L30" s="175"/>
      <c r="M30" s="140"/>
      <c r="N30" s="175"/>
      <c r="O30" s="140"/>
      <c r="P30" s="128"/>
      <c r="Q30" s="130"/>
      <c r="R30" s="130"/>
      <c r="S30" s="173"/>
      <c r="T30" s="173"/>
      <c r="U30" s="184"/>
      <c r="AA30" s="49">
        <f t="shared" si="1"/>
        <v>0</v>
      </c>
      <c r="AB30" s="49">
        <f t="shared" si="2"/>
        <v>0</v>
      </c>
      <c r="AC30" s="131" t="e">
        <f t="shared" si="0"/>
        <v>#N/A</v>
      </c>
    </row>
    <row r="31" spans="1:32" x14ac:dyDescent="0.25">
      <c r="B31" s="127"/>
      <c r="C31" s="183"/>
      <c r="D31" s="128"/>
      <c r="E31" s="128"/>
      <c r="F31" s="128"/>
      <c r="G31" s="175"/>
      <c r="H31" s="175"/>
      <c r="I31" s="140"/>
      <c r="J31" s="175"/>
      <c r="K31" s="140"/>
      <c r="L31" s="175"/>
      <c r="M31" s="140"/>
      <c r="N31" s="175"/>
      <c r="O31" s="140"/>
      <c r="P31" s="128"/>
      <c r="Q31" s="130"/>
      <c r="R31" s="130"/>
      <c r="S31" s="173"/>
      <c r="T31" s="173"/>
      <c r="U31" s="184"/>
      <c r="AA31" s="49">
        <f t="shared" si="1"/>
        <v>0</v>
      </c>
      <c r="AB31" s="49">
        <f t="shared" si="2"/>
        <v>0</v>
      </c>
      <c r="AC31" s="131" t="e">
        <f t="shared" si="0"/>
        <v>#N/A</v>
      </c>
    </row>
    <row r="32" spans="1:32" x14ac:dyDescent="0.25">
      <c r="B32" s="127"/>
      <c r="C32" s="183"/>
      <c r="D32" s="128"/>
      <c r="E32" s="128"/>
      <c r="F32" s="128"/>
      <c r="G32" s="175"/>
      <c r="H32" s="175"/>
      <c r="I32" s="140"/>
      <c r="J32" s="175"/>
      <c r="K32" s="140"/>
      <c r="L32" s="175"/>
      <c r="M32" s="140"/>
      <c r="N32" s="175"/>
      <c r="O32" s="140"/>
      <c r="P32" s="128"/>
      <c r="Q32" s="130"/>
      <c r="R32" s="130"/>
      <c r="S32" s="173"/>
      <c r="T32" s="173"/>
      <c r="U32" s="184"/>
      <c r="AA32" s="49">
        <f t="shared" si="1"/>
        <v>0</v>
      </c>
      <c r="AB32" s="49">
        <f t="shared" si="2"/>
        <v>0</v>
      </c>
      <c r="AC32" s="131" t="e">
        <f t="shared" si="0"/>
        <v>#N/A</v>
      </c>
    </row>
    <row r="33" spans="2:29" x14ac:dyDescent="0.25">
      <c r="B33" s="127"/>
      <c r="C33" s="183"/>
      <c r="D33" s="128"/>
      <c r="E33" s="128"/>
      <c r="F33" s="128"/>
      <c r="G33" s="175"/>
      <c r="H33" s="175"/>
      <c r="I33" s="140"/>
      <c r="J33" s="175"/>
      <c r="K33" s="140"/>
      <c r="L33" s="175"/>
      <c r="M33" s="140"/>
      <c r="N33" s="175"/>
      <c r="O33" s="140"/>
      <c r="P33" s="128"/>
      <c r="Q33" s="130"/>
      <c r="R33" s="130"/>
      <c r="S33" s="173"/>
      <c r="T33" s="173"/>
      <c r="U33" s="184"/>
      <c r="AA33" s="49">
        <f t="shared" si="1"/>
        <v>0</v>
      </c>
      <c r="AB33" s="49">
        <f t="shared" si="2"/>
        <v>0</v>
      </c>
      <c r="AC33" s="131" t="e">
        <f t="shared" si="0"/>
        <v>#N/A</v>
      </c>
    </row>
    <row r="34" spans="2:29" x14ac:dyDescent="0.25">
      <c r="B34" s="127"/>
      <c r="C34" s="183"/>
      <c r="D34" s="128"/>
      <c r="E34" s="128"/>
      <c r="F34" s="128"/>
      <c r="G34" s="175"/>
      <c r="H34" s="175"/>
      <c r="I34" s="140"/>
      <c r="J34" s="175"/>
      <c r="K34" s="140"/>
      <c r="L34" s="175"/>
      <c r="M34" s="140"/>
      <c r="N34" s="175"/>
      <c r="O34" s="140"/>
      <c r="P34" s="128"/>
      <c r="Q34" s="130"/>
      <c r="R34" s="130"/>
      <c r="S34" s="173"/>
      <c r="T34" s="173"/>
      <c r="U34" s="184"/>
      <c r="AA34" s="49">
        <f t="shared" si="1"/>
        <v>0</v>
      </c>
      <c r="AB34" s="49">
        <f t="shared" si="2"/>
        <v>0</v>
      </c>
      <c r="AC34" s="131" t="e">
        <f t="shared" si="0"/>
        <v>#N/A</v>
      </c>
    </row>
    <row r="35" spans="2:29" x14ac:dyDescent="0.25">
      <c r="B35" s="127"/>
      <c r="C35" s="183"/>
      <c r="D35" s="128"/>
      <c r="E35" s="128"/>
      <c r="F35" s="128"/>
      <c r="G35" s="175"/>
      <c r="H35" s="175"/>
      <c r="I35" s="140"/>
      <c r="J35" s="175"/>
      <c r="K35" s="140"/>
      <c r="L35" s="175"/>
      <c r="M35" s="140"/>
      <c r="N35" s="175"/>
      <c r="O35" s="140"/>
      <c r="P35" s="128"/>
      <c r="Q35" s="130"/>
      <c r="R35" s="130"/>
      <c r="S35" s="173"/>
      <c r="T35" s="173"/>
      <c r="U35" s="184"/>
      <c r="AA35" s="49">
        <f t="shared" si="1"/>
        <v>0</v>
      </c>
      <c r="AB35" s="49">
        <f t="shared" si="2"/>
        <v>0</v>
      </c>
      <c r="AC35" s="131" t="e">
        <f t="shared" si="0"/>
        <v>#N/A</v>
      </c>
    </row>
    <row r="36" spans="2:29" x14ac:dyDescent="0.25">
      <c r="B36" s="127"/>
      <c r="C36" s="183"/>
      <c r="D36" s="128"/>
      <c r="E36" s="128"/>
      <c r="F36" s="128"/>
      <c r="G36" s="175"/>
      <c r="H36" s="175"/>
      <c r="I36" s="140"/>
      <c r="J36" s="175"/>
      <c r="K36" s="140"/>
      <c r="L36" s="175"/>
      <c r="M36" s="140"/>
      <c r="N36" s="175"/>
      <c r="O36" s="140"/>
      <c r="P36" s="128"/>
      <c r="Q36" s="130"/>
      <c r="R36" s="130"/>
      <c r="S36" s="173"/>
      <c r="T36" s="173"/>
      <c r="U36" s="184"/>
      <c r="AA36" s="49">
        <f t="shared" si="1"/>
        <v>0</v>
      </c>
      <c r="AB36" s="49">
        <f t="shared" si="2"/>
        <v>0</v>
      </c>
      <c r="AC36" s="131" t="e">
        <f t="shared" si="0"/>
        <v>#N/A</v>
      </c>
    </row>
    <row r="37" spans="2:29" x14ac:dyDescent="0.25">
      <c r="B37" s="127"/>
      <c r="C37" s="183"/>
      <c r="D37" s="128"/>
      <c r="E37" s="128"/>
      <c r="F37" s="128"/>
      <c r="G37" s="175"/>
      <c r="H37" s="175"/>
      <c r="I37" s="140"/>
      <c r="J37" s="175"/>
      <c r="K37" s="140"/>
      <c r="L37" s="175"/>
      <c r="M37" s="140"/>
      <c r="N37" s="175"/>
      <c r="O37" s="140"/>
      <c r="P37" s="128"/>
      <c r="Q37" s="130"/>
      <c r="R37" s="130"/>
      <c r="S37" s="173"/>
      <c r="T37" s="173"/>
      <c r="U37" s="184"/>
      <c r="AA37" s="49">
        <f t="shared" si="1"/>
        <v>0</v>
      </c>
      <c r="AB37" s="49">
        <f t="shared" si="2"/>
        <v>0</v>
      </c>
      <c r="AC37" s="131" t="e">
        <f t="shared" si="0"/>
        <v>#N/A</v>
      </c>
    </row>
    <row r="38" spans="2:29" x14ac:dyDescent="0.25">
      <c r="B38" s="127"/>
      <c r="C38" s="183"/>
      <c r="D38" s="128"/>
      <c r="E38" s="128"/>
      <c r="F38" s="128"/>
      <c r="G38" s="175"/>
      <c r="H38" s="175"/>
      <c r="I38" s="140"/>
      <c r="J38" s="175"/>
      <c r="K38" s="140"/>
      <c r="L38" s="175"/>
      <c r="M38" s="140"/>
      <c r="N38" s="175"/>
      <c r="O38" s="140"/>
      <c r="P38" s="128"/>
      <c r="Q38" s="130"/>
      <c r="R38" s="130"/>
      <c r="S38" s="173"/>
      <c r="T38" s="173"/>
      <c r="U38" s="184"/>
      <c r="AA38" s="49">
        <f t="shared" si="1"/>
        <v>0</v>
      </c>
      <c r="AB38" s="49">
        <f t="shared" si="2"/>
        <v>0</v>
      </c>
      <c r="AC38" s="131" t="e">
        <f t="shared" si="0"/>
        <v>#N/A</v>
      </c>
    </row>
    <row r="39" spans="2:29" x14ac:dyDescent="0.25">
      <c r="B39" s="127"/>
      <c r="C39" s="183"/>
      <c r="D39" s="128"/>
      <c r="E39" s="128"/>
      <c r="F39" s="128"/>
      <c r="G39" s="175"/>
      <c r="H39" s="175"/>
      <c r="I39" s="140"/>
      <c r="J39" s="175"/>
      <c r="K39" s="140"/>
      <c r="L39" s="175"/>
      <c r="M39" s="140"/>
      <c r="N39" s="175"/>
      <c r="O39" s="140"/>
      <c r="P39" s="128"/>
      <c r="Q39" s="130"/>
      <c r="R39" s="130"/>
      <c r="S39" s="173"/>
      <c r="T39" s="173"/>
      <c r="U39" s="184"/>
      <c r="AA39" s="49">
        <f t="shared" si="1"/>
        <v>0</v>
      </c>
      <c r="AB39" s="49">
        <f t="shared" si="2"/>
        <v>0</v>
      </c>
      <c r="AC39" s="131" t="e">
        <f t="shared" si="0"/>
        <v>#N/A</v>
      </c>
    </row>
    <row r="40" spans="2:29" x14ac:dyDescent="0.25">
      <c r="B40" s="127"/>
      <c r="C40" s="183"/>
      <c r="D40" s="128"/>
      <c r="E40" s="128"/>
      <c r="F40" s="128"/>
      <c r="G40" s="175"/>
      <c r="H40" s="175"/>
      <c r="I40" s="140"/>
      <c r="J40" s="175"/>
      <c r="K40" s="140"/>
      <c r="L40" s="175"/>
      <c r="M40" s="140"/>
      <c r="N40" s="175"/>
      <c r="O40" s="140"/>
      <c r="P40" s="128"/>
      <c r="Q40" s="130"/>
      <c r="R40" s="130"/>
      <c r="S40" s="173"/>
      <c r="T40" s="173"/>
      <c r="U40" s="184"/>
      <c r="AA40" s="49">
        <f t="shared" si="1"/>
        <v>0</v>
      </c>
      <c r="AB40" s="49">
        <f t="shared" si="2"/>
        <v>0</v>
      </c>
      <c r="AC40" s="131" t="e">
        <f t="shared" si="0"/>
        <v>#N/A</v>
      </c>
    </row>
    <row r="41" spans="2:29" x14ac:dyDescent="0.25">
      <c r="B41" s="127"/>
      <c r="C41" s="183"/>
      <c r="D41" s="128"/>
      <c r="E41" s="128"/>
      <c r="F41" s="128"/>
      <c r="G41" s="175"/>
      <c r="H41" s="175"/>
      <c r="I41" s="140"/>
      <c r="J41" s="175"/>
      <c r="K41" s="140"/>
      <c r="L41" s="175"/>
      <c r="M41" s="140"/>
      <c r="N41" s="175"/>
      <c r="O41" s="140"/>
      <c r="P41" s="128"/>
      <c r="Q41" s="130"/>
      <c r="R41" s="130"/>
      <c r="S41" s="173"/>
      <c r="T41" s="173"/>
      <c r="U41" s="184"/>
      <c r="AA41" s="49">
        <f t="shared" si="1"/>
        <v>0</v>
      </c>
      <c r="AB41" s="49">
        <f t="shared" si="2"/>
        <v>0</v>
      </c>
      <c r="AC41" s="131" t="e">
        <f t="shared" si="0"/>
        <v>#N/A</v>
      </c>
    </row>
    <row r="42" spans="2:29" x14ac:dyDescent="0.25">
      <c r="B42" s="127"/>
      <c r="C42" s="183"/>
      <c r="D42" s="128"/>
      <c r="E42" s="128"/>
      <c r="F42" s="128"/>
      <c r="G42" s="175"/>
      <c r="H42" s="175"/>
      <c r="I42" s="140"/>
      <c r="J42" s="175"/>
      <c r="K42" s="140"/>
      <c r="L42" s="175"/>
      <c r="M42" s="140"/>
      <c r="N42" s="175"/>
      <c r="O42" s="140"/>
      <c r="P42" s="128"/>
      <c r="Q42" s="130"/>
      <c r="R42" s="130"/>
      <c r="S42" s="173"/>
      <c r="T42" s="173"/>
      <c r="U42" s="184"/>
      <c r="AA42" s="49">
        <f t="shared" si="1"/>
        <v>0</v>
      </c>
      <c r="AB42" s="49">
        <f t="shared" si="2"/>
        <v>0</v>
      </c>
      <c r="AC42" s="131" t="e">
        <f t="shared" si="0"/>
        <v>#N/A</v>
      </c>
    </row>
    <row r="43" spans="2:29" x14ac:dyDescent="0.25">
      <c r="B43" s="127"/>
      <c r="C43" s="183"/>
      <c r="D43" s="128"/>
      <c r="E43" s="128"/>
      <c r="F43" s="128"/>
      <c r="G43" s="175"/>
      <c r="H43" s="175"/>
      <c r="I43" s="140"/>
      <c r="J43" s="175"/>
      <c r="K43" s="140"/>
      <c r="L43" s="175"/>
      <c r="M43" s="140"/>
      <c r="N43" s="175"/>
      <c r="O43" s="140"/>
      <c r="P43" s="128"/>
      <c r="Q43" s="130"/>
      <c r="R43" s="130"/>
      <c r="S43" s="173"/>
      <c r="T43" s="173"/>
      <c r="U43" s="184"/>
      <c r="AA43" s="49">
        <f t="shared" si="1"/>
        <v>0</v>
      </c>
      <c r="AB43" s="49">
        <f t="shared" si="2"/>
        <v>0</v>
      </c>
      <c r="AC43" s="131" t="e">
        <f t="shared" si="0"/>
        <v>#N/A</v>
      </c>
    </row>
    <row r="44" spans="2:29" x14ac:dyDescent="0.25">
      <c r="B44" s="127"/>
      <c r="C44" s="183"/>
      <c r="D44" s="128"/>
      <c r="E44" s="128"/>
      <c r="F44" s="128"/>
      <c r="G44" s="175"/>
      <c r="H44" s="175"/>
      <c r="I44" s="140"/>
      <c r="J44" s="175"/>
      <c r="K44" s="140"/>
      <c r="L44" s="175"/>
      <c r="M44" s="140"/>
      <c r="N44" s="175"/>
      <c r="O44" s="140"/>
      <c r="P44" s="128"/>
      <c r="Q44" s="130"/>
      <c r="R44" s="130"/>
      <c r="S44" s="173"/>
      <c r="T44" s="173"/>
      <c r="U44" s="184"/>
      <c r="AA44" s="49">
        <f t="shared" si="1"/>
        <v>0</v>
      </c>
      <c r="AB44" s="49">
        <f t="shared" si="2"/>
        <v>0</v>
      </c>
      <c r="AC44" s="131" t="e">
        <f t="shared" si="0"/>
        <v>#N/A</v>
      </c>
    </row>
    <row r="45" spans="2:29" x14ac:dyDescent="0.25">
      <c r="B45" s="127"/>
      <c r="C45" s="183"/>
      <c r="D45" s="128"/>
      <c r="E45" s="128"/>
      <c r="F45" s="128"/>
      <c r="G45" s="175"/>
      <c r="H45" s="175"/>
      <c r="I45" s="140"/>
      <c r="J45" s="175"/>
      <c r="K45" s="140"/>
      <c r="L45" s="175"/>
      <c r="M45" s="140"/>
      <c r="N45" s="175"/>
      <c r="O45" s="140"/>
      <c r="P45" s="128"/>
      <c r="Q45" s="130"/>
      <c r="R45" s="130"/>
      <c r="S45" s="173"/>
      <c r="T45" s="173"/>
      <c r="U45" s="184"/>
      <c r="AA45" s="49">
        <f t="shared" si="1"/>
        <v>0</v>
      </c>
      <c r="AB45" s="49">
        <f t="shared" si="2"/>
        <v>0</v>
      </c>
      <c r="AC45" s="131" t="e">
        <f t="shared" si="0"/>
        <v>#N/A</v>
      </c>
    </row>
    <row r="46" spans="2:29" x14ac:dyDescent="0.25">
      <c r="B46" s="127"/>
      <c r="C46" s="183"/>
      <c r="D46" s="128"/>
      <c r="E46" s="128"/>
      <c r="F46" s="128"/>
      <c r="G46" s="175"/>
      <c r="H46" s="175"/>
      <c r="I46" s="140"/>
      <c r="J46" s="175"/>
      <c r="K46" s="140"/>
      <c r="L46" s="175"/>
      <c r="M46" s="140"/>
      <c r="N46" s="175"/>
      <c r="O46" s="140"/>
      <c r="P46" s="128"/>
      <c r="Q46" s="130"/>
      <c r="R46" s="130"/>
      <c r="S46" s="173"/>
      <c r="T46" s="173"/>
      <c r="U46" s="184"/>
      <c r="AA46" s="49">
        <f t="shared" si="1"/>
        <v>0</v>
      </c>
      <c r="AB46" s="49">
        <f t="shared" si="2"/>
        <v>0</v>
      </c>
      <c r="AC46" s="131" t="e">
        <f t="shared" si="0"/>
        <v>#N/A</v>
      </c>
    </row>
    <row r="47" spans="2:29" x14ac:dyDescent="0.25">
      <c r="B47" s="127"/>
      <c r="C47" s="183"/>
      <c r="D47" s="128"/>
      <c r="E47" s="128"/>
      <c r="F47" s="128"/>
      <c r="G47" s="175"/>
      <c r="H47" s="175"/>
      <c r="I47" s="140"/>
      <c r="J47" s="175"/>
      <c r="K47" s="140"/>
      <c r="L47" s="175"/>
      <c r="M47" s="140"/>
      <c r="N47" s="175"/>
      <c r="O47" s="140"/>
      <c r="P47" s="128"/>
      <c r="Q47" s="130"/>
      <c r="R47" s="130"/>
      <c r="S47" s="173"/>
      <c r="T47" s="173"/>
      <c r="U47" s="184"/>
      <c r="AA47" s="49">
        <f t="shared" si="1"/>
        <v>0</v>
      </c>
      <c r="AB47" s="49">
        <f t="shared" si="2"/>
        <v>0</v>
      </c>
      <c r="AC47" s="131" t="e">
        <f t="shared" si="0"/>
        <v>#N/A</v>
      </c>
    </row>
    <row r="48" spans="2:29" x14ac:dyDescent="0.25">
      <c r="B48" s="127"/>
      <c r="C48" s="183"/>
      <c r="D48" s="128"/>
      <c r="E48" s="128"/>
      <c r="F48" s="128"/>
      <c r="G48" s="175"/>
      <c r="H48" s="175"/>
      <c r="I48" s="140"/>
      <c r="J48" s="175"/>
      <c r="K48" s="140"/>
      <c r="L48" s="175"/>
      <c r="M48" s="140"/>
      <c r="N48" s="175"/>
      <c r="O48" s="140"/>
      <c r="P48" s="128"/>
      <c r="Q48" s="130"/>
      <c r="R48" s="130"/>
      <c r="S48" s="173"/>
      <c r="T48" s="173"/>
      <c r="U48" s="184"/>
      <c r="AA48" s="49">
        <f t="shared" si="1"/>
        <v>0</v>
      </c>
      <c r="AB48" s="49">
        <f t="shared" si="2"/>
        <v>0</v>
      </c>
      <c r="AC48" s="131" t="e">
        <f t="shared" si="0"/>
        <v>#N/A</v>
      </c>
    </row>
    <row r="49" spans="2:29" x14ac:dyDescent="0.25">
      <c r="B49" s="127"/>
      <c r="C49" s="183"/>
      <c r="D49" s="128"/>
      <c r="E49" s="128"/>
      <c r="F49" s="128"/>
      <c r="G49" s="175"/>
      <c r="H49" s="175"/>
      <c r="I49" s="140"/>
      <c r="J49" s="175"/>
      <c r="K49" s="140"/>
      <c r="L49" s="175"/>
      <c r="M49" s="140"/>
      <c r="N49" s="175"/>
      <c r="O49" s="140"/>
      <c r="P49" s="128"/>
      <c r="Q49" s="130"/>
      <c r="R49" s="130"/>
      <c r="S49" s="173"/>
      <c r="T49" s="173"/>
      <c r="U49" s="184"/>
      <c r="AA49" s="49">
        <f t="shared" si="1"/>
        <v>0</v>
      </c>
      <c r="AB49" s="49">
        <f t="shared" si="2"/>
        <v>0</v>
      </c>
      <c r="AC49" s="131" t="e">
        <f t="shared" si="0"/>
        <v>#N/A</v>
      </c>
    </row>
    <row r="50" spans="2:29" x14ac:dyDescent="0.25">
      <c r="B50" s="127"/>
      <c r="C50" s="183"/>
      <c r="D50" s="128"/>
      <c r="E50" s="128"/>
      <c r="F50" s="128"/>
      <c r="G50" s="175"/>
      <c r="H50" s="175"/>
      <c r="I50" s="140"/>
      <c r="J50" s="175"/>
      <c r="K50" s="140"/>
      <c r="L50" s="175"/>
      <c r="M50" s="140"/>
      <c r="N50" s="175"/>
      <c r="O50" s="140"/>
      <c r="P50" s="128"/>
      <c r="Q50" s="130"/>
      <c r="R50" s="130"/>
      <c r="S50" s="173"/>
      <c r="T50" s="173"/>
      <c r="U50" s="184"/>
      <c r="AA50" s="49">
        <f t="shared" si="1"/>
        <v>0</v>
      </c>
      <c r="AB50" s="49">
        <f t="shared" si="2"/>
        <v>0</v>
      </c>
      <c r="AC50" s="131" t="e">
        <f t="shared" si="0"/>
        <v>#N/A</v>
      </c>
    </row>
    <row r="51" spans="2:29" x14ac:dyDescent="0.25">
      <c r="B51" s="127"/>
      <c r="C51" s="183"/>
      <c r="D51" s="128"/>
      <c r="E51" s="128"/>
      <c r="F51" s="128"/>
      <c r="G51" s="175"/>
      <c r="H51" s="175"/>
      <c r="I51" s="140"/>
      <c r="J51" s="175"/>
      <c r="K51" s="140"/>
      <c r="L51" s="175"/>
      <c r="M51" s="140"/>
      <c r="N51" s="175"/>
      <c r="O51" s="140"/>
      <c r="P51" s="128"/>
      <c r="Q51" s="130"/>
      <c r="R51" s="130"/>
      <c r="S51" s="173"/>
      <c r="T51" s="173"/>
      <c r="U51" s="184"/>
      <c r="AA51" s="49">
        <f t="shared" si="1"/>
        <v>0</v>
      </c>
      <c r="AB51" s="49">
        <f t="shared" si="2"/>
        <v>0</v>
      </c>
      <c r="AC51" s="131" t="e">
        <f t="shared" si="0"/>
        <v>#N/A</v>
      </c>
    </row>
    <row r="52" spans="2:29" x14ac:dyDescent="0.25">
      <c r="B52" s="127"/>
      <c r="C52" s="183"/>
      <c r="D52" s="128"/>
      <c r="E52" s="128"/>
      <c r="F52" s="128"/>
      <c r="G52" s="175"/>
      <c r="H52" s="175"/>
      <c r="I52" s="140"/>
      <c r="J52" s="175"/>
      <c r="K52" s="140"/>
      <c r="L52" s="175"/>
      <c r="M52" s="140"/>
      <c r="N52" s="175"/>
      <c r="O52" s="140"/>
      <c r="P52" s="128"/>
      <c r="Q52" s="130"/>
      <c r="R52" s="130"/>
      <c r="S52" s="173"/>
      <c r="T52" s="173"/>
      <c r="U52" s="184"/>
      <c r="AA52" s="49">
        <f t="shared" si="1"/>
        <v>0</v>
      </c>
      <c r="AB52" s="49">
        <f t="shared" si="2"/>
        <v>0</v>
      </c>
      <c r="AC52" s="131" t="e">
        <f t="shared" si="0"/>
        <v>#N/A</v>
      </c>
    </row>
    <row r="53" spans="2:29" x14ac:dyDescent="0.25">
      <c r="B53" s="127"/>
      <c r="C53" s="183"/>
      <c r="D53" s="128"/>
      <c r="E53" s="128"/>
      <c r="F53" s="128"/>
      <c r="G53" s="175"/>
      <c r="H53" s="175"/>
      <c r="I53" s="140"/>
      <c r="J53" s="175"/>
      <c r="K53" s="140"/>
      <c r="L53" s="175"/>
      <c r="M53" s="140"/>
      <c r="N53" s="175"/>
      <c r="O53" s="140"/>
      <c r="P53" s="128"/>
      <c r="Q53" s="130"/>
      <c r="R53" s="130"/>
      <c r="S53" s="173"/>
      <c r="T53" s="173"/>
      <c r="U53" s="184"/>
      <c r="AA53" s="49">
        <f t="shared" si="1"/>
        <v>0</v>
      </c>
      <c r="AB53" s="49">
        <f t="shared" si="2"/>
        <v>0</v>
      </c>
      <c r="AC53" s="131" t="e">
        <f t="shared" si="0"/>
        <v>#N/A</v>
      </c>
    </row>
    <row r="54" spans="2:29" x14ac:dyDescent="0.25">
      <c r="B54" s="127"/>
      <c r="C54" s="183"/>
      <c r="D54" s="128"/>
      <c r="E54" s="128"/>
      <c r="F54" s="128"/>
      <c r="G54" s="175"/>
      <c r="H54" s="175"/>
      <c r="I54" s="140"/>
      <c r="J54" s="175"/>
      <c r="K54" s="140"/>
      <c r="L54" s="175"/>
      <c r="M54" s="140"/>
      <c r="N54" s="175"/>
      <c r="O54" s="140"/>
      <c r="P54" s="128"/>
      <c r="Q54" s="130"/>
      <c r="R54" s="130"/>
      <c r="S54" s="173"/>
      <c r="T54" s="173"/>
      <c r="U54" s="184"/>
      <c r="AA54" s="49">
        <f t="shared" si="1"/>
        <v>0</v>
      </c>
      <c r="AB54" s="49">
        <f t="shared" si="2"/>
        <v>0</v>
      </c>
      <c r="AC54" s="131" t="e">
        <f t="shared" si="0"/>
        <v>#N/A</v>
      </c>
    </row>
    <row r="55" spans="2:29" x14ac:dyDescent="0.25">
      <c r="B55" s="127"/>
      <c r="C55" s="183"/>
      <c r="D55" s="128"/>
      <c r="E55" s="128"/>
      <c r="F55" s="128"/>
      <c r="G55" s="175"/>
      <c r="H55" s="175"/>
      <c r="I55" s="140"/>
      <c r="J55" s="175"/>
      <c r="K55" s="140"/>
      <c r="L55" s="175"/>
      <c r="M55" s="140"/>
      <c r="N55" s="175"/>
      <c r="O55" s="140"/>
      <c r="P55" s="128"/>
      <c r="Q55" s="130"/>
      <c r="R55" s="130"/>
      <c r="S55" s="173"/>
      <c r="T55" s="173"/>
      <c r="U55" s="184"/>
      <c r="AA55" s="49">
        <f t="shared" si="1"/>
        <v>0</v>
      </c>
      <c r="AB55" s="49">
        <f t="shared" si="2"/>
        <v>0</v>
      </c>
      <c r="AC55" s="131" t="e">
        <f t="shared" si="0"/>
        <v>#N/A</v>
      </c>
    </row>
    <row r="56" spans="2:29" x14ac:dyDescent="0.25">
      <c r="B56" s="127"/>
      <c r="C56" s="183"/>
      <c r="D56" s="128"/>
      <c r="E56" s="128"/>
      <c r="F56" s="128"/>
      <c r="G56" s="175"/>
      <c r="H56" s="175"/>
      <c r="I56" s="140"/>
      <c r="J56" s="175"/>
      <c r="K56" s="140"/>
      <c r="L56" s="175"/>
      <c r="M56" s="140"/>
      <c r="N56" s="175"/>
      <c r="O56" s="140"/>
      <c r="P56" s="128"/>
      <c r="Q56" s="130"/>
      <c r="R56" s="130"/>
      <c r="S56" s="173"/>
      <c r="T56" s="173"/>
      <c r="U56" s="184"/>
      <c r="AA56" s="49">
        <f t="shared" si="1"/>
        <v>0</v>
      </c>
      <c r="AB56" s="49">
        <f t="shared" si="2"/>
        <v>0</v>
      </c>
      <c r="AC56" s="131" t="e">
        <f t="shared" si="0"/>
        <v>#N/A</v>
      </c>
    </row>
    <row r="57" spans="2:29" x14ac:dyDescent="0.25">
      <c r="B57" s="127"/>
      <c r="C57" s="183"/>
      <c r="D57" s="128"/>
      <c r="E57" s="128"/>
      <c r="F57" s="128"/>
      <c r="G57" s="175"/>
      <c r="H57" s="175"/>
      <c r="I57" s="140"/>
      <c r="J57" s="175"/>
      <c r="K57" s="140"/>
      <c r="L57" s="175"/>
      <c r="M57" s="140"/>
      <c r="N57" s="175"/>
      <c r="O57" s="140"/>
      <c r="P57" s="128"/>
      <c r="Q57" s="130"/>
      <c r="R57" s="130"/>
      <c r="S57" s="173"/>
      <c r="T57" s="173"/>
      <c r="U57" s="184"/>
      <c r="AA57" s="49">
        <f t="shared" si="1"/>
        <v>0</v>
      </c>
      <c r="AB57" s="49">
        <f t="shared" si="2"/>
        <v>0</v>
      </c>
      <c r="AC57" s="131" t="e">
        <f t="shared" si="0"/>
        <v>#N/A</v>
      </c>
    </row>
    <row r="58" spans="2:29" x14ac:dyDescent="0.25">
      <c r="B58" s="127"/>
      <c r="C58" s="183"/>
      <c r="D58" s="128"/>
      <c r="E58" s="128"/>
      <c r="F58" s="128"/>
      <c r="G58" s="175"/>
      <c r="H58" s="175"/>
      <c r="I58" s="140"/>
      <c r="J58" s="175"/>
      <c r="K58" s="140"/>
      <c r="L58" s="175"/>
      <c r="M58" s="140"/>
      <c r="N58" s="175"/>
      <c r="O58" s="140"/>
      <c r="P58" s="128"/>
      <c r="Q58" s="130"/>
      <c r="R58" s="130"/>
      <c r="S58" s="173"/>
      <c r="T58" s="173"/>
      <c r="U58" s="184"/>
      <c r="AA58" s="49">
        <f t="shared" si="1"/>
        <v>0</v>
      </c>
      <c r="AB58" s="49">
        <f t="shared" si="2"/>
        <v>0</v>
      </c>
      <c r="AC58" s="131" t="e">
        <f t="shared" si="0"/>
        <v>#N/A</v>
      </c>
    </row>
    <row r="59" spans="2:29" x14ac:dyDescent="0.25">
      <c r="B59" s="127"/>
      <c r="C59" s="183"/>
      <c r="D59" s="128"/>
      <c r="E59" s="128"/>
      <c r="F59" s="128"/>
      <c r="G59" s="175"/>
      <c r="H59" s="175"/>
      <c r="I59" s="140"/>
      <c r="J59" s="175"/>
      <c r="K59" s="140"/>
      <c r="L59" s="175"/>
      <c r="M59" s="140"/>
      <c r="N59" s="175"/>
      <c r="O59" s="140"/>
      <c r="P59" s="128"/>
      <c r="Q59" s="130"/>
      <c r="R59" s="130"/>
      <c r="S59" s="173"/>
      <c r="T59" s="173"/>
      <c r="U59" s="184"/>
      <c r="AA59" s="49">
        <f t="shared" si="1"/>
        <v>0</v>
      </c>
      <c r="AB59" s="49">
        <f t="shared" si="2"/>
        <v>0</v>
      </c>
      <c r="AC59" s="131" t="e">
        <f t="shared" si="0"/>
        <v>#N/A</v>
      </c>
    </row>
    <row r="60" spans="2:29" x14ac:dyDescent="0.25">
      <c r="B60" s="127"/>
      <c r="C60" s="183"/>
      <c r="D60" s="128"/>
      <c r="E60" s="128"/>
      <c r="F60" s="128"/>
      <c r="G60" s="175"/>
      <c r="H60" s="175"/>
      <c r="I60" s="140"/>
      <c r="J60" s="175"/>
      <c r="K60" s="140"/>
      <c r="L60" s="175"/>
      <c r="M60" s="140"/>
      <c r="N60" s="175"/>
      <c r="O60" s="140"/>
      <c r="P60" s="128"/>
      <c r="Q60" s="130"/>
      <c r="R60" s="130"/>
      <c r="S60" s="173"/>
      <c r="T60" s="173"/>
      <c r="U60" s="184"/>
      <c r="AA60" s="49">
        <f t="shared" si="1"/>
        <v>0</v>
      </c>
      <c r="AB60" s="49">
        <f t="shared" si="2"/>
        <v>0</v>
      </c>
      <c r="AC60" s="131" t="e">
        <f t="shared" si="0"/>
        <v>#N/A</v>
      </c>
    </row>
    <row r="61" spans="2:29" x14ac:dyDescent="0.25">
      <c r="B61" s="127"/>
      <c r="C61" s="183"/>
      <c r="D61" s="128"/>
      <c r="E61" s="128"/>
      <c r="F61" s="128"/>
      <c r="G61" s="175"/>
      <c r="H61" s="175"/>
      <c r="I61" s="140"/>
      <c r="J61" s="175"/>
      <c r="K61" s="140"/>
      <c r="L61" s="175"/>
      <c r="M61" s="140"/>
      <c r="N61" s="175"/>
      <c r="O61" s="140"/>
      <c r="P61" s="128"/>
      <c r="Q61" s="130"/>
      <c r="R61" s="130"/>
      <c r="S61" s="173"/>
      <c r="T61" s="173"/>
      <c r="U61" s="184"/>
      <c r="AA61" s="49">
        <f t="shared" si="1"/>
        <v>0</v>
      </c>
      <c r="AB61" s="49">
        <f t="shared" si="2"/>
        <v>0</v>
      </c>
      <c r="AC61" s="131" t="e">
        <f t="shared" si="0"/>
        <v>#N/A</v>
      </c>
    </row>
    <row r="62" spans="2:29" x14ac:dyDescent="0.25">
      <c r="B62" s="127"/>
      <c r="C62" s="183"/>
      <c r="D62" s="128"/>
      <c r="E62" s="128"/>
      <c r="F62" s="128"/>
      <c r="G62" s="175"/>
      <c r="H62" s="175"/>
      <c r="I62" s="140"/>
      <c r="J62" s="175"/>
      <c r="K62" s="140"/>
      <c r="L62" s="175"/>
      <c r="M62" s="140"/>
      <c r="N62" s="175"/>
      <c r="O62" s="140"/>
      <c r="P62" s="128"/>
      <c r="Q62" s="130"/>
      <c r="R62" s="130"/>
      <c r="S62" s="173"/>
      <c r="T62" s="173"/>
      <c r="U62" s="184"/>
      <c r="AA62" s="49">
        <f t="shared" si="1"/>
        <v>0</v>
      </c>
      <c r="AB62" s="49">
        <f t="shared" si="2"/>
        <v>0</v>
      </c>
      <c r="AC62" s="131" t="e">
        <f t="shared" si="0"/>
        <v>#N/A</v>
      </c>
    </row>
    <row r="63" spans="2:29" x14ac:dyDescent="0.25">
      <c r="B63" s="127"/>
      <c r="C63" s="183"/>
      <c r="D63" s="128"/>
      <c r="E63" s="128"/>
      <c r="F63" s="128"/>
      <c r="G63" s="175"/>
      <c r="H63" s="175"/>
      <c r="I63" s="140"/>
      <c r="J63" s="175"/>
      <c r="K63" s="140"/>
      <c r="L63" s="175"/>
      <c r="M63" s="140"/>
      <c r="N63" s="175"/>
      <c r="O63" s="140"/>
      <c r="P63" s="128"/>
      <c r="Q63" s="130"/>
      <c r="R63" s="130"/>
      <c r="S63" s="173"/>
      <c r="T63" s="173"/>
      <c r="U63" s="184"/>
      <c r="AA63" s="49">
        <f t="shared" si="1"/>
        <v>0</v>
      </c>
      <c r="AB63" s="49">
        <f t="shared" si="2"/>
        <v>0</v>
      </c>
      <c r="AC63" s="131" t="e">
        <f t="shared" si="0"/>
        <v>#N/A</v>
      </c>
    </row>
    <row r="64" spans="2:29" x14ac:dyDescent="0.25">
      <c r="B64" s="127"/>
      <c r="C64" s="183"/>
      <c r="D64" s="128"/>
      <c r="E64" s="128"/>
      <c r="F64" s="128"/>
      <c r="G64" s="175"/>
      <c r="H64" s="175"/>
      <c r="I64" s="140"/>
      <c r="J64" s="175"/>
      <c r="K64" s="140"/>
      <c r="L64" s="175"/>
      <c r="M64" s="140"/>
      <c r="N64" s="175"/>
      <c r="O64" s="140"/>
      <c r="P64" s="128"/>
      <c r="Q64" s="130"/>
      <c r="R64" s="130"/>
      <c r="S64" s="173"/>
      <c r="T64" s="173"/>
      <c r="U64" s="184"/>
      <c r="AA64" s="49">
        <f t="shared" si="1"/>
        <v>0</v>
      </c>
      <c r="AB64" s="49">
        <f t="shared" si="2"/>
        <v>0</v>
      </c>
      <c r="AC64" s="131" t="e">
        <f t="shared" si="0"/>
        <v>#N/A</v>
      </c>
    </row>
    <row r="65" spans="2:29" x14ac:dyDescent="0.25">
      <c r="B65" s="127"/>
      <c r="C65" s="183"/>
      <c r="D65" s="128"/>
      <c r="E65" s="128"/>
      <c r="F65" s="128"/>
      <c r="G65" s="175"/>
      <c r="H65" s="175"/>
      <c r="I65" s="140"/>
      <c r="J65" s="175"/>
      <c r="K65" s="140"/>
      <c r="L65" s="175"/>
      <c r="M65" s="140"/>
      <c r="N65" s="175"/>
      <c r="O65" s="140"/>
      <c r="P65" s="128"/>
      <c r="Q65" s="130"/>
      <c r="R65" s="130"/>
      <c r="S65" s="173"/>
      <c r="T65" s="173"/>
      <c r="U65" s="184"/>
      <c r="AA65" s="49">
        <f t="shared" si="1"/>
        <v>0</v>
      </c>
      <c r="AB65" s="49">
        <f t="shared" si="2"/>
        <v>0</v>
      </c>
      <c r="AC65" s="131" t="e">
        <f t="shared" si="0"/>
        <v>#N/A</v>
      </c>
    </row>
    <row r="66" spans="2:29" x14ac:dyDescent="0.25">
      <c r="B66" s="127"/>
      <c r="C66" s="183"/>
      <c r="D66" s="128"/>
      <c r="E66" s="128"/>
      <c r="F66" s="128"/>
      <c r="G66" s="175"/>
      <c r="H66" s="175"/>
      <c r="I66" s="140"/>
      <c r="J66" s="175"/>
      <c r="K66" s="140"/>
      <c r="L66" s="175"/>
      <c r="M66" s="140"/>
      <c r="N66" s="175"/>
      <c r="O66" s="140"/>
      <c r="P66" s="128"/>
      <c r="Q66" s="130"/>
      <c r="R66" s="130"/>
      <c r="S66" s="173"/>
      <c r="T66" s="173"/>
      <c r="U66" s="184"/>
      <c r="AA66" s="49">
        <f t="shared" si="1"/>
        <v>0</v>
      </c>
      <c r="AB66" s="49">
        <f t="shared" si="2"/>
        <v>0</v>
      </c>
      <c r="AC66" s="131" t="e">
        <f t="shared" si="0"/>
        <v>#N/A</v>
      </c>
    </row>
    <row r="67" spans="2:29" x14ac:dyDescent="0.25">
      <c r="B67" s="127"/>
      <c r="C67" s="183"/>
      <c r="D67" s="128"/>
      <c r="E67" s="128"/>
      <c r="F67" s="128"/>
      <c r="G67" s="175"/>
      <c r="H67" s="175"/>
      <c r="I67" s="140"/>
      <c r="J67" s="175"/>
      <c r="K67" s="140"/>
      <c r="L67" s="175"/>
      <c r="M67" s="140"/>
      <c r="N67" s="175"/>
      <c r="O67" s="140"/>
      <c r="P67" s="128"/>
      <c r="Q67" s="130"/>
      <c r="R67" s="130"/>
      <c r="S67" s="173"/>
      <c r="T67" s="173"/>
      <c r="U67" s="184"/>
      <c r="AA67" s="49">
        <f t="shared" si="1"/>
        <v>0</v>
      </c>
      <c r="AB67" s="49">
        <f t="shared" si="2"/>
        <v>0</v>
      </c>
      <c r="AC67" s="131" t="e">
        <f t="shared" si="0"/>
        <v>#N/A</v>
      </c>
    </row>
    <row r="68" spans="2:29" x14ac:dyDescent="0.25">
      <c r="B68" s="127"/>
      <c r="C68" s="183"/>
      <c r="D68" s="128"/>
      <c r="E68" s="128"/>
      <c r="F68" s="128"/>
      <c r="G68" s="175"/>
      <c r="H68" s="175"/>
      <c r="I68" s="140"/>
      <c r="J68" s="175"/>
      <c r="K68" s="140"/>
      <c r="L68" s="175"/>
      <c r="M68" s="140"/>
      <c r="N68" s="175"/>
      <c r="O68" s="140"/>
      <c r="P68" s="128"/>
      <c r="Q68" s="130"/>
      <c r="R68" s="130"/>
      <c r="S68" s="173"/>
      <c r="T68" s="173"/>
      <c r="U68" s="184"/>
      <c r="AA68" s="49">
        <f t="shared" si="1"/>
        <v>0</v>
      </c>
      <c r="AB68" s="49">
        <f t="shared" si="2"/>
        <v>0</v>
      </c>
      <c r="AC68" s="131" t="e">
        <f t="shared" si="0"/>
        <v>#N/A</v>
      </c>
    </row>
    <row r="69" spans="2:29" x14ac:dyDescent="0.25">
      <c r="B69" s="127"/>
      <c r="C69" s="183"/>
      <c r="D69" s="128"/>
      <c r="E69" s="128"/>
      <c r="F69" s="128"/>
      <c r="G69" s="175"/>
      <c r="H69" s="175"/>
      <c r="I69" s="140"/>
      <c r="J69" s="175"/>
      <c r="K69" s="140"/>
      <c r="L69" s="175"/>
      <c r="M69" s="140"/>
      <c r="N69" s="175"/>
      <c r="O69" s="140"/>
      <c r="P69" s="128"/>
      <c r="Q69" s="130"/>
      <c r="R69" s="130"/>
      <c r="S69" s="173"/>
      <c r="T69" s="173"/>
      <c r="U69" s="184"/>
      <c r="AA69" s="49">
        <f t="shared" si="1"/>
        <v>0</v>
      </c>
      <c r="AB69" s="49">
        <f t="shared" si="2"/>
        <v>0</v>
      </c>
      <c r="AC69" s="131" t="e">
        <f t="shared" si="0"/>
        <v>#N/A</v>
      </c>
    </row>
    <row r="70" spans="2:29" x14ac:dyDescent="0.25">
      <c r="B70" s="127"/>
      <c r="C70" s="183"/>
      <c r="D70" s="128"/>
      <c r="E70" s="128"/>
      <c r="F70" s="128"/>
      <c r="G70" s="175"/>
      <c r="H70" s="175"/>
      <c r="I70" s="140"/>
      <c r="J70" s="175"/>
      <c r="K70" s="140"/>
      <c r="L70" s="175"/>
      <c r="M70" s="140"/>
      <c r="N70" s="175"/>
      <c r="O70" s="140"/>
      <c r="P70" s="128"/>
      <c r="Q70" s="130"/>
      <c r="R70" s="130"/>
      <c r="S70" s="173"/>
      <c r="T70" s="173"/>
      <c r="U70" s="184"/>
      <c r="AA70" s="49">
        <f t="shared" si="1"/>
        <v>0</v>
      </c>
      <c r="AB70" s="49">
        <f t="shared" si="2"/>
        <v>0</v>
      </c>
      <c r="AC70" s="131" t="e">
        <f t="shared" si="0"/>
        <v>#N/A</v>
      </c>
    </row>
    <row r="71" spans="2:29" x14ac:dyDescent="0.25">
      <c r="B71" s="127"/>
      <c r="C71" s="183"/>
      <c r="D71" s="128"/>
      <c r="E71" s="128"/>
      <c r="F71" s="128"/>
      <c r="G71" s="175"/>
      <c r="H71" s="175"/>
      <c r="I71" s="140"/>
      <c r="J71" s="175"/>
      <c r="K71" s="140"/>
      <c r="L71" s="175"/>
      <c r="M71" s="140"/>
      <c r="N71" s="175"/>
      <c r="O71" s="140"/>
      <c r="P71" s="128"/>
      <c r="Q71" s="130"/>
      <c r="R71" s="130"/>
      <c r="S71" s="173"/>
      <c r="T71" s="173"/>
      <c r="U71" s="184"/>
      <c r="AA71" s="49">
        <f t="shared" si="1"/>
        <v>0</v>
      </c>
      <c r="AB71" s="49">
        <f t="shared" si="2"/>
        <v>0</v>
      </c>
      <c r="AC71" s="131" t="e">
        <f t="shared" si="0"/>
        <v>#N/A</v>
      </c>
    </row>
    <row r="72" spans="2:29" x14ac:dyDescent="0.25">
      <c r="B72" s="127"/>
      <c r="C72" s="183"/>
      <c r="D72" s="128"/>
      <c r="E72" s="128"/>
      <c r="F72" s="128"/>
      <c r="G72" s="175"/>
      <c r="H72" s="175"/>
      <c r="I72" s="140"/>
      <c r="J72" s="175"/>
      <c r="K72" s="140"/>
      <c r="L72" s="175"/>
      <c r="M72" s="140"/>
      <c r="N72" s="175"/>
      <c r="O72" s="140"/>
      <c r="P72" s="128"/>
      <c r="Q72" s="130"/>
      <c r="R72" s="130"/>
      <c r="S72" s="173"/>
      <c r="T72" s="173"/>
      <c r="U72" s="184"/>
      <c r="AA72" s="49">
        <f t="shared" si="1"/>
        <v>0</v>
      </c>
      <c r="AB72" s="49">
        <f t="shared" si="2"/>
        <v>0</v>
      </c>
      <c r="AC72" s="131" t="e">
        <f t="shared" si="0"/>
        <v>#N/A</v>
      </c>
    </row>
    <row r="73" spans="2:29" x14ac:dyDescent="0.25">
      <c r="B73" s="127"/>
      <c r="C73" s="183"/>
      <c r="D73" s="128"/>
      <c r="E73" s="128"/>
      <c r="F73" s="128"/>
      <c r="G73" s="175"/>
      <c r="H73" s="175"/>
      <c r="I73" s="140"/>
      <c r="J73" s="175"/>
      <c r="K73" s="140"/>
      <c r="L73" s="175"/>
      <c r="M73" s="140"/>
      <c r="N73" s="175"/>
      <c r="O73" s="140"/>
      <c r="P73" s="128"/>
      <c r="Q73" s="130"/>
      <c r="R73" s="130"/>
      <c r="S73" s="173"/>
      <c r="T73" s="173"/>
      <c r="U73" s="184"/>
      <c r="AA73" s="49">
        <f t="shared" si="1"/>
        <v>0</v>
      </c>
      <c r="AB73" s="49">
        <f t="shared" si="2"/>
        <v>0</v>
      </c>
      <c r="AC73" s="131" t="e">
        <f t="shared" si="0"/>
        <v>#N/A</v>
      </c>
    </row>
    <row r="74" spans="2:29" x14ac:dyDescent="0.25">
      <c r="B74" s="127"/>
      <c r="C74" s="183"/>
      <c r="D74" s="128"/>
      <c r="E74" s="128"/>
      <c r="F74" s="128"/>
      <c r="G74" s="175"/>
      <c r="H74" s="175"/>
      <c r="I74" s="140"/>
      <c r="J74" s="175"/>
      <c r="K74" s="140"/>
      <c r="L74" s="175"/>
      <c r="M74" s="140"/>
      <c r="N74" s="175"/>
      <c r="O74" s="140"/>
      <c r="P74" s="128"/>
      <c r="Q74" s="130"/>
      <c r="R74" s="130"/>
      <c r="S74" s="173"/>
      <c r="T74" s="173"/>
      <c r="U74" s="184"/>
      <c r="AA74" s="49">
        <f t="shared" si="1"/>
        <v>0</v>
      </c>
      <c r="AB74" s="49">
        <f t="shared" si="2"/>
        <v>0</v>
      </c>
      <c r="AC74" s="131" t="e">
        <f t="shared" si="0"/>
        <v>#N/A</v>
      </c>
    </row>
    <row r="75" spans="2:29" x14ac:dyDescent="0.25">
      <c r="B75" s="127"/>
      <c r="C75" s="183"/>
      <c r="D75" s="128"/>
      <c r="E75" s="128"/>
      <c r="F75" s="128"/>
      <c r="G75" s="175"/>
      <c r="H75" s="175"/>
      <c r="I75" s="140"/>
      <c r="J75" s="175"/>
      <c r="K75" s="140"/>
      <c r="L75" s="175"/>
      <c r="M75" s="140"/>
      <c r="N75" s="175"/>
      <c r="O75" s="140"/>
      <c r="P75" s="128"/>
      <c r="Q75" s="130"/>
      <c r="R75" s="130"/>
      <c r="S75" s="173"/>
      <c r="T75" s="173"/>
      <c r="U75" s="184"/>
      <c r="AA75" s="49">
        <f t="shared" si="1"/>
        <v>0</v>
      </c>
      <c r="AB75" s="49">
        <f t="shared" si="2"/>
        <v>0</v>
      </c>
      <c r="AC75" s="131" t="e">
        <f t="shared" si="0"/>
        <v>#N/A</v>
      </c>
    </row>
    <row r="76" spans="2:29" x14ac:dyDescent="0.25">
      <c r="B76" s="127"/>
      <c r="C76" s="183"/>
      <c r="D76" s="128"/>
      <c r="E76" s="128"/>
      <c r="F76" s="128"/>
      <c r="G76" s="175"/>
      <c r="H76" s="175"/>
      <c r="I76" s="140"/>
      <c r="J76" s="175"/>
      <c r="K76" s="140"/>
      <c r="L76" s="175"/>
      <c r="M76" s="140"/>
      <c r="N76" s="175"/>
      <c r="O76" s="140"/>
      <c r="P76" s="128"/>
      <c r="Q76" s="130"/>
      <c r="R76" s="130"/>
      <c r="S76" s="173"/>
      <c r="T76" s="173"/>
      <c r="U76" s="184"/>
      <c r="AA76" s="49">
        <f t="shared" si="1"/>
        <v>0</v>
      </c>
      <c r="AB76" s="49">
        <f t="shared" si="2"/>
        <v>0</v>
      </c>
      <c r="AC76" s="131" t="e">
        <f t="shared" si="0"/>
        <v>#N/A</v>
      </c>
    </row>
    <row r="77" spans="2:29" x14ac:dyDescent="0.25">
      <c r="B77" s="127"/>
      <c r="C77" s="183"/>
      <c r="D77" s="128"/>
      <c r="E77" s="128"/>
      <c r="F77" s="128"/>
      <c r="G77" s="175"/>
      <c r="H77" s="175"/>
      <c r="I77" s="140"/>
      <c r="J77" s="175"/>
      <c r="K77" s="140"/>
      <c r="L77" s="175"/>
      <c r="M77" s="140"/>
      <c r="N77" s="175"/>
      <c r="O77" s="140"/>
      <c r="P77" s="128"/>
      <c r="Q77" s="130"/>
      <c r="R77" s="130"/>
      <c r="S77" s="173"/>
      <c r="T77" s="173"/>
      <c r="U77" s="184"/>
      <c r="AA77" s="49">
        <f t="shared" si="1"/>
        <v>0</v>
      </c>
      <c r="AB77" s="49">
        <f t="shared" si="2"/>
        <v>0</v>
      </c>
      <c r="AC77" s="131" t="e">
        <f t="shared" si="0"/>
        <v>#N/A</v>
      </c>
    </row>
    <row r="78" spans="2:29" x14ac:dyDescent="0.25">
      <c r="B78" s="127"/>
      <c r="C78" s="183"/>
      <c r="D78" s="128"/>
      <c r="E78" s="128"/>
      <c r="F78" s="128"/>
      <c r="G78" s="175"/>
      <c r="H78" s="175"/>
      <c r="I78" s="140"/>
      <c r="J78" s="175"/>
      <c r="K78" s="140"/>
      <c r="L78" s="175"/>
      <c r="M78" s="140"/>
      <c r="N78" s="175"/>
      <c r="O78" s="140"/>
      <c r="P78" s="128"/>
      <c r="Q78" s="130"/>
      <c r="R78" s="130"/>
      <c r="S78" s="173"/>
      <c r="T78" s="173"/>
      <c r="U78" s="184"/>
      <c r="AA78" s="49">
        <f t="shared" si="1"/>
        <v>0</v>
      </c>
      <c r="AB78" s="49">
        <f t="shared" si="2"/>
        <v>0</v>
      </c>
      <c r="AC78" s="131" t="e">
        <f t="shared" si="0"/>
        <v>#N/A</v>
      </c>
    </row>
    <row r="79" spans="2:29" x14ac:dyDescent="0.25">
      <c r="B79" s="127"/>
      <c r="C79" s="183"/>
      <c r="D79" s="128"/>
      <c r="E79" s="128"/>
      <c r="F79" s="128"/>
      <c r="G79" s="175"/>
      <c r="H79" s="175"/>
      <c r="I79" s="140"/>
      <c r="J79" s="175"/>
      <c r="K79" s="140"/>
      <c r="L79" s="175"/>
      <c r="M79" s="140"/>
      <c r="N79" s="175"/>
      <c r="O79" s="140"/>
      <c r="P79" s="128"/>
      <c r="Q79" s="130"/>
      <c r="R79" s="130"/>
      <c r="S79" s="173"/>
      <c r="T79" s="173"/>
      <c r="U79" s="184"/>
      <c r="AA79" s="49">
        <f t="shared" si="1"/>
        <v>0</v>
      </c>
      <c r="AB79" s="49">
        <f t="shared" si="2"/>
        <v>0</v>
      </c>
      <c r="AC79" s="131" t="e">
        <f t="shared" si="0"/>
        <v>#N/A</v>
      </c>
    </row>
    <row r="80" spans="2:29" x14ac:dyDescent="0.25">
      <c r="B80" s="127"/>
      <c r="C80" s="183"/>
      <c r="D80" s="128"/>
      <c r="E80" s="128"/>
      <c r="F80" s="128"/>
      <c r="G80" s="175"/>
      <c r="H80" s="175"/>
      <c r="I80" s="140"/>
      <c r="J80" s="175"/>
      <c r="K80" s="140"/>
      <c r="L80" s="175"/>
      <c r="M80" s="140"/>
      <c r="N80" s="175"/>
      <c r="O80" s="140"/>
      <c r="P80" s="128"/>
      <c r="Q80" s="130"/>
      <c r="R80" s="130"/>
      <c r="S80" s="173"/>
      <c r="T80" s="173"/>
      <c r="U80" s="184"/>
      <c r="AA80" s="49">
        <f t="shared" si="1"/>
        <v>0</v>
      </c>
      <c r="AB80" s="49">
        <f t="shared" si="2"/>
        <v>0</v>
      </c>
      <c r="AC80" s="131" t="e">
        <f t="shared" ref="AC80:AC143" si="3">VLOOKUP(C80,ChamberType,2,FALSE)</f>
        <v>#N/A</v>
      </c>
    </row>
    <row r="81" spans="2:29" x14ac:dyDescent="0.25">
      <c r="B81" s="127"/>
      <c r="C81" s="183"/>
      <c r="D81" s="128"/>
      <c r="E81" s="128"/>
      <c r="F81" s="128"/>
      <c r="G81" s="175"/>
      <c r="H81" s="175"/>
      <c r="I81" s="140"/>
      <c r="J81" s="175"/>
      <c r="K81" s="140"/>
      <c r="L81" s="175"/>
      <c r="M81" s="140"/>
      <c r="N81" s="175"/>
      <c r="O81" s="140"/>
      <c r="P81" s="128"/>
      <c r="Q81" s="130"/>
      <c r="R81" s="130"/>
      <c r="S81" s="173"/>
      <c r="T81" s="173"/>
      <c r="U81" s="184"/>
      <c r="AA81" s="49">
        <f t="shared" ref="AA81:AA144" si="4">D81+J81/6</f>
        <v>0</v>
      </c>
      <c r="AB81" s="49">
        <f t="shared" ref="AB81:AB144" si="5">D81+(J81+N81)/12</f>
        <v>0</v>
      </c>
      <c r="AC81" s="131" t="e">
        <f t="shared" si="3"/>
        <v>#N/A</v>
      </c>
    </row>
    <row r="82" spans="2:29" x14ac:dyDescent="0.25">
      <c r="B82" s="127"/>
      <c r="C82" s="183"/>
      <c r="D82" s="128"/>
      <c r="E82" s="128"/>
      <c r="F82" s="128"/>
      <c r="G82" s="175"/>
      <c r="H82" s="175"/>
      <c r="I82" s="140"/>
      <c r="J82" s="175"/>
      <c r="K82" s="140"/>
      <c r="L82" s="175"/>
      <c r="M82" s="140"/>
      <c r="N82" s="175"/>
      <c r="O82" s="140"/>
      <c r="P82" s="128"/>
      <c r="Q82" s="130"/>
      <c r="R82" s="130"/>
      <c r="S82" s="173"/>
      <c r="T82" s="173"/>
      <c r="U82" s="184"/>
      <c r="AA82" s="49">
        <f t="shared" si="4"/>
        <v>0</v>
      </c>
      <c r="AB82" s="49">
        <f t="shared" si="5"/>
        <v>0</v>
      </c>
      <c r="AC82" s="131" t="e">
        <f t="shared" si="3"/>
        <v>#N/A</v>
      </c>
    </row>
    <row r="83" spans="2:29" x14ac:dyDescent="0.25">
      <c r="B83" s="127"/>
      <c r="C83" s="183"/>
      <c r="D83" s="128"/>
      <c r="E83" s="128"/>
      <c r="F83" s="128"/>
      <c r="G83" s="175"/>
      <c r="H83" s="175"/>
      <c r="I83" s="140"/>
      <c r="J83" s="175"/>
      <c r="K83" s="140"/>
      <c r="L83" s="175"/>
      <c r="M83" s="140"/>
      <c r="N83" s="175"/>
      <c r="O83" s="140"/>
      <c r="P83" s="128"/>
      <c r="Q83" s="130"/>
      <c r="R83" s="130"/>
      <c r="S83" s="173"/>
      <c r="T83" s="173"/>
      <c r="U83" s="184"/>
      <c r="AA83" s="49">
        <f t="shared" si="4"/>
        <v>0</v>
      </c>
      <c r="AB83" s="49">
        <f t="shared" si="5"/>
        <v>0</v>
      </c>
      <c r="AC83" s="131" t="e">
        <f t="shared" si="3"/>
        <v>#N/A</v>
      </c>
    </row>
    <row r="84" spans="2:29" x14ac:dyDescent="0.25">
      <c r="B84" s="127"/>
      <c r="C84" s="183"/>
      <c r="D84" s="128"/>
      <c r="E84" s="128"/>
      <c r="F84" s="128"/>
      <c r="G84" s="175"/>
      <c r="H84" s="175"/>
      <c r="I84" s="140"/>
      <c r="J84" s="175"/>
      <c r="K84" s="140"/>
      <c r="L84" s="175"/>
      <c r="M84" s="140"/>
      <c r="N84" s="175"/>
      <c r="O84" s="140"/>
      <c r="P84" s="128"/>
      <c r="Q84" s="130"/>
      <c r="R84" s="130"/>
      <c r="S84" s="173"/>
      <c r="T84" s="173"/>
      <c r="U84" s="184"/>
      <c r="AA84" s="49">
        <f t="shared" si="4"/>
        <v>0</v>
      </c>
      <c r="AB84" s="49">
        <f t="shared" si="5"/>
        <v>0</v>
      </c>
      <c r="AC84" s="131" t="e">
        <f t="shared" si="3"/>
        <v>#N/A</v>
      </c>
    </row>
    <row r="85" spans="2:29" x14ac:dyDescent="0.25">
      <c r="B85" s="127"/>
      <c r="C85" s="183"/>
      <c r="D85" s="128"/>
      <c r="E85" s="128"/>
      <c r="F85" s="128"/>
      <c r="G85" s="175"/>
      <c r="H85" s="175"/>
      <c r="I85" s="140"/>
      <c r="J85" s="175"/>
      <c r="K85" s="140"/>
      <c r="L85" s="175"/>
      <c r="M85" s="140"/>
      <c r="N85" s="175"/>
      <c r="O85" s="140"/>
      <c r="P85" s="128"/>
      <c r="Q85" s="130"/>
      <c r="R85" s="130"/>
      <c r="S85" s="173"/>
      <c r="T85" s="173"/>
      <c r="U85" s="184"/>
      <c r="AA85" s="49">
        <f t="shared" si="4"/>
        <v>0</v>
      </c>
      <c r="AB85" s="49">
        <f t="shared" si="5"/>
        <v>0</v>
      </c>
      <c r="AC85" s="131" t="e">
        <f t="shared" si="3"/>
        <v>#N/A</v>
      </c>
    </row>
    <row r="86" spans="2:29" x14ac:dyDescent="0.25">
      <c r="B86" s="127"/>
      <c r="C86" s="183"/>
      <c r="D86" s="128"/>
      <c r="E86" s="128"/>
      <c r="F86" s="128"/>
      <c r="G86" s="175"/>
      <c r="H86" s="175"/>
      <c r="I86" s="140"/>
      <c r="J86" s="175"/>
      <c r="K86" s="140"/>
      <c r="L86" s="175"/>
      <c r="M86" s="140"/>
      <c r="N86" s="175"/>
      <c r="O86" s="140"/>
      <c r="P86" s="128"/>
      <c r="Q86" s="130"/>
      <c r="R86" s="130"/>
      <c r="S86" s="173"/>
      <c r="T86" s="173"/>
      <c r="U86" s="184"/>
      <c r="AA86" s="49">
        <f t="shared" si="4"/>
        <v>0</v>
      </c>
      <c r="AB86" s="49">
        <f t="shared" si="5"/>
        <v>0</v>
      </c>
      <c r="AC86" s="131" t="e">
        <f t="shared" si="3"/>
        <v>#N/A</v>
      </c>
    </row>
    <row r="87" spans="2:29" x14ac:dyDescent="0.25">
      <c r="B87" s="127"/>
      <c r="C87" s="183"/>
      <c r="D87" s="128"/>
      <c r="E87" s="128"/>
      <c r="F87" s="128"/>
      <c r="G87" s="175"/>
      <c r="H87" s="175"/>
      <c r="I87" s="140"/>
      <c r="J87" s="175"/>
      <c r="K87" s="140"/>
      <c r="L87" s="175"/>
      <c r="M87" s="140"/>
      <c r="N87" s="175"/>
      <c r="O87" s="140"/>
      <c r="P87" s="128"/>
      <c r="Q87" s="130"/>
      <c r="R87" s="130"/>
      <c r="S87" s="173"/>
      <c r="T87" s="173"/>
      <c r="U87" s="184"/>
      <c r="AA87" s="49">
        <f t="shared" si="4"/>
        <v>0</v>
      </c>
      <c r="AB87" s="49">
        <f t="shared" si="5"/>
        <v>0</v>
      </c>
      <c r="AC87" s="131" t="e">
        <f t="shared" si="3"/>
        <v>#N/A</v>
      </c>
    </row>
    <row r="88" spans="2:29" x14ac:dyDescent="0.25">
      <c r="B88" s="127"/>
      <c r="C88" s="183"/>
      <c r="D88" s="128"/>
      <c r="E88" s="128"/>
      <c r="F88" s="128"/>
      <c r="G88" s="175"/>
      <c r="H88" s="175"/>
      <c r="I88" s="140"/>
      <c r="J88" s="175"/>
      <c r="K88" s="140"/>
      <c r="L88" s="175"/>
      <c r="M88" s="140"/>
      <c r="N88" s="175"/>
      <c r="O88" s="140"/>
      <c r="P88" s="128"/>
      <c r="Q88" s="130"/>
      <c r="R88" s="130"/>
      <c r="S88" s="173"/>
      <c r="T88" s="173"/>
      <c r="U88" s="184"/>
      <c r="AA88" s="49">
        <f t="shared" si="4"/>
        <v>0</v>
      </c>
      <c r="AB88" s="49">
        <f t="shared" si="5"/>
        <v>0</v>
      </c>
      <c r="AC88" s="131" t="e">
        <f t="shared" si="3"/>
        <v>#N/A</v>
      </c>
    </row>
    <row r="89" spans="2:29" x14ac:dyDescent="0.25">
      <c r="B89" s="127"/>
      <c r="C89" s="183"/>
      <c r="D89" s="128"/>
      <c r="E89" s="128"/>
      <c r="F89" s="128"/>
      <c r="G89" s="175"/>
      <c r="H89" s="175"/>
      <c r="I89" s="140"/>
      <c r="J89" s="175"/>
      <c r="K89" s="140"/>
      <c r="L89" s="175"/>
      <c r="M89" s="140"/>
      <c r="N89" s="175"/>
      <c r="O89" s="140"/>
      <c r="P89" s="128"/>
      <c r="Q89" s="130"/>
      <c r="R89" s="130"/>
      <c r="S89" s="173"/>
      <c r="T89" s="173"/>
      <c r="U89" s="184"/>
      <c r="AA89" s="49">
        <f t="shared" si="4"/>
        <v>0</v>
      </c>
      <c r="AB89" s="49">
        <f t="shared" si="5"/>
        <v>0</v>
      </c>
      <c r="AC89" s="131" t="e">
        <f t="shared" si="3"/>
        <v>#N/A</v>
      </c>
    </row>
    <row r="90" spans="2:29" x14ac:dyDescent="0.25">
      <c r="B90" s="127"/>
      <c r="C90" s="183"/>
      <c r="D90" s="128"/>
      <c r="E90" s="128"/>
      <c r="F90" s="128"/>
      <c r="G90" s="175"/>
      <c r="H90" s="175"/>
      <c r="I90" s="140"/>
      <c r="J90" s="175"/>
      <c r="K90" s="140"/>
      <c r="L90" s="175"/>
      <c r="M90" s="140"/>
      <c r="N90" s="175"/>
      <c r="O90" s="140"/>
      <c r="P90" s="128"/>
      <c r="Q90" s="130"/>
      <c r="R90" s="130"/>
      <c r="S90" s="173"/>
      <c r="T90" s="173"/>
      <c r="U90" s="184"/>
      <c r="AA90" s="49">
        <f t="shared" si="4"/>
        <v>0</v>
      </c>
      <c r="AB90" s="49">
        <f t="shared" si="5"/>
        <v>0</v>
      </c>
      <c r="AC90" s="131" t="e">
        <f t="shared" si="3"/>
        <v>#N/A</v>
      </c>
    </row>
    <row r="91" spans="2:29" x14ac:dyDescent="0.25">
      <c r="B91" s="127"/>
      <c r="C91" s="183"/>
      <c r="D91" s="128"/>
      <c r="E91" s="128"/>
      <c r="F91" s="128"/>
      <c r="G91" s="175"/>
      <c r="H91" s="175"/>
      <c r="I91" s="140"/>
      <c r="J91" s="175"/>
      <c r="K91" s="140"/>
      <c r="L91" s="175"/>
      <c r="M91" s="140"/>
      <c r="N91" s="175"/>
      <c r="O91" s="140"/>
      <c r="P91" s="128"/>
      <c r="Q91" s="130"/>
      <c r="R91" s="130"/>
      <c r="S91" s="173"/>
      <c r="T91" s="173"/>
      <c r="U91" s="184"/>
      <c r="AA91" s="49">
        <f t="shared" si="4"/>
        <v>0</v>
      </c>
      <c r="AB91" s="49">
        <f t="shared" si="5"/>
        <v>0</v>
      </c>
      <c r="AC91" s="131" t="e">
        <f t="shared" si="3"/>
        <v>#N/A</v>
      </c>
    </row>
    <row r="92" spans="2:29" x14ac:dyDescent="0.25">
      <c r="B92" s="127"/>
      <c r="C92" s="183"/>
      <c r="D92" s="128"/>
      <c r="E92" s="128"/>
      <c r="F92" s="128"/>
      <c r="G92" s="175"/>
      <c r="H92" s="175"/>
      <c r="I92" s="140"/>
      <c r="J92" s="175"/>
      <c r="K92" s="140"/>
      <c r="L92" s="175"/>
      <c r="M92" s="140"/>
      <c r="N92" s="175"/>
      <c r="O92" s="140"/>
      <c r="P92" s="128"/>
      <c r="Q92" s="130"/>
      <c r="R92" s="130"/>
      <c r="S92" s="173"/>
      <c r="T92" s="173"/>
      <c r="U92" s="184"/>
      <c r="AA92" s="49">
        <f t="shared" si="4"/>
        <v>0</v>
      </c>
      <c r="AB92" s="49">
        <f t="shared" si="5"/>
        <v>0</v>
      </c>
      <c r="AC92" s="131" t="e">
        <f t="shared" si="3"/>
        <v>#N/A</v>
      </c>
    </row>
    <row r="93" spans="2:29" x14ac:dyDescent="0.25">
      <c r="B93" s="127"/>
      <c r="C93" s="183"/>
      <c r="D93" s="128"/>
      <c r="E93" s="128"/>
      <c r="F93" s="128"/>
      <c r="G93" s="175"/>
      <c r="H93" s="175"/>
      <c r="I93" s="140"/>
      <c r="J93" s="175"/>
      <c r="K93" s="140"/>
      <c r="L93" s="175"/>
      <c r="M93" s="140"/>
      <c r="N93" s="175"/>
      <c r="O93" s="140"/>
      <c r="P93" s="128"/>
      <c r="Q93" s="130"/>
      <c r="R93" s="130"/>
      <c r="S93" s="173"/>
      <c r="T93" s="173"/>
      <c r="U93" s="184"/>
      <c r="AA93" s="49">
        <f t="shared" si="4"/>
        <v>0</v>
      </c>
      <c r="AB93" s="49">
        <f t="shared" si="5"/>
        <v>0</v>
      </c>
      <c r="AC93" s="131" t="e">
        <f t="shared" si="3"/>
        <v>#N/A</v>
      </c>
    </row>
    <row r="94" spans="2:29" x14ac:dyDescent="0.25">
      <c r="B94" s="127"/>
      <c r="C94" s="183"/>
      <c r="D94" s="128"/>
      <c r="E94" s="128"/>
      <c r="F94" s="128"/>
      <c r="G94" s="175"/>
      <c r="H94" s="175"/>
      <c r="I94" s="140"/>
      <c r="J94" s="175"/>
      <c r="K94" s="140"/>
      <c r="L94" s="175"/>
      <c r="M94" s="140"/>
      <c r="N94" s="175"/>
      <c r="O94" s="140"/>
      <c r="P94" s="128"/>
      <c r="Q94" s="130"/>
      <c r="R94" s="130"/>
      <c r="S94" s="173"/>
      <c r="T94" s="173"/>
      <c r="U94" s="184"/>
      <c r="AA94" s="49">
        <f t="shared" si="4"/>
        <v>0</v>
      </c>
      <c r="AB94" s="49">
        <f t="shared" si="5"/>
        <v>0</v>
      </c>
      <c r="AC94" s="131" t="e">
        <f t="shared" si="3"/>
        <v>#N/A</v>
      </c>
    </row>
    <row r="95" spans="2:29" x14ac:dyDescent="0.25">
      <c r="B95" s="127"/>
      <c r="C95" s="183"/>
      <c r="D95" s="128"/>
      <c r="E95" s="128"/>
      <c r="F95" s="128"/>
      <c r="G95" s="175"/>
      <c r="H95" s="175"/>
      <c r="I95" s="140"/>
      <c r="J95" s="175"/>
      <c r="K95" s="140"/>
      <c r="L95" s="175"/>
      <c r="M95" s="140"/>
      <c r="N95" s="175"/>
      <c r="O95" s="140"/>
      <c r="P95" s="128"/>
      <c r="Q95" s="130"/>
      <c r="R95" s="130"/>
      <c r="S95" s="173"/>
      <c r="T95" s="173"/>
      <c r="U95" s="184"/>
      <c r="AA95" s="49">
        <f t="shared" si="4"/>
        <v>0</v>
      </c>
      <c r="AB95" s="49">
        <f t="shared" si="5"/>
        <v>0</v>
      </c>
      <c r="AC95" s="131" t="e">
        <f t="shared" si="3"/>
        <v>#N/A</v>
      </c>
    </row>
    <row r="96" spans="2:29" x14ac:dyDescent="0.25">
      <c r="B96" s="127"/>
      <c r="C96" s="183"/>
      <c r="D96" s="128"/>
      <c r="E96" s="128"/>
      <c r="F96" s="128"/>
      <c r="G96" s="175"/>
      <c r="H96" s="175"/>
      <c r="I96" s="140"/>
      <c r="J96" s="175"/>
      <c r="K96" s="140"/>
      <c r="L96" s="175"/>
      <c r="M96" s="140"/>
      <c r="N96" s="175"/>
      <c r="O96" s="140"/>
      <c r="P96" s="128"/>
      <c r="Q96" s="130"/>
      <c r="R96" s="130"/>
      <c r="S96" s="173"/>
      <c r="T96" s="173"/>
      <c r="U96" s="184"/>
      <c r="AA96" s="49">
        <f t="shared" si="4"/>
        <v>0</v>
      </c>
      <c r="AB96" s="49">
        <f t="shared" si="5"/>
        <v>0</v>
      </c>
      <c r="AC96" s="131" t="e">
        <f t="shared" si="3"/>
        <v>#N/A</v>
      </c>
    </row>
    <row r="97" spans="2:29" x14ac:dyDescent="0.25">
      <c r="B97" s="127"/>
      <c r="C97" s="183"/>
      <c r="D97" s="128"/>
      <c r="E97" s="128"/>
      <c r="F97" s="128"/>
      <c r="G97" s="175"/>
      <c r="H97" s="175"/>
      <c r="I97" s="140"/>
      <c r="J97" s="175"/>
      <c r="K97" s="140"/>
      <c r="L97" s="175"/>
      <c r="M97" s="140"/>
      <c r="N97" s="175"/>
      <c r="O97" s="140"/>
      <c r="P97" s="128"/>
      <c r="Q97" s="130"/>
      <c r="R97" s="130"/>
      <c r="S97" s="173"/>
      <c r="T97" s="173"/>
      <c r="U97" s="184"/>
      <c r="AA97" s="49">
        <f t="shared" si="4"/>
        <v>0</v>
      </c>
      <c r="AB97" s="49">
        <f t="shared" si="5"/>
        <v>0</v>
      </c>
      <c r="AC97" s="131" t="e">
        <f t="shared" si="3"/>
        <v>#N/A</v>
      </c>
    </row>
    <row r="98" spans="2:29" x14ac:dyDescent="0.25">
      <c r="B98" s="127"/>
      <c r="C98" s="183"/>
      <c r="D98" s="128"/>
      <c r="E98" s="128"/>
      <c r="F98" s="128"/>
      <c r="G98" s="175"/>
      <c r="H98" s="175"/>
      <c r="I98" s="140"/>
      <c r="J98" s="175"/>
      <c r="K98" s="140"/>
      <c r="L98" s="175"/>
      <c r="M98" s="140"/>
      <c r="N98" s="175"/>
      <c r="O98" s="140"/>
      <c r="P98" s="128"/>
      <c r="Q98" s="130"/>
      <c r="R98" s="130"/>
      <c r="S98" s="173"/>
      <c r="T98" s="173"/>
      <c r="U98" s="184"/>
      <c r="AA98" s="49">
        <f t="shared" si="4"/>
        <v>0</v>
      </c>
      <c r="AB98" s="49">
        <f t="shared" si="5"/>
        <v>0</v>
      </c>
      <c r="AC98" s="131" t="e">
        <f t="shared" si="3"/>
        <v>#N/A</v>
      </c>
    </row>
    <row r="99" spans="2:29" x14ac:dyDescent="0.25">
      <c r="B99" s="127"/>
      <c r="C99" s="183"/>
      <c r="D99" s="128"/>
      <c r="E99" s="128"/>
      <c r="F99" s="128"/>
      <c r="G99" s="175"/>
      <c r="H99" s="175"/>
      <c r="I99" s="140"/>
      <c r="J99" s="175"/>
      <c r="K99" s="140"/>
      <c r="L99" s="175"/>
      <c r="M99" s="140"/>
      <c r="N99" s="175"/>
      <c r="O99" s="140"/>
      <c r="P99" s="128"/>
      <c r="Q99" s="130"/>
      <c r="R99" s="130"/>
      <c r="S99" s="173"/>
      <c r="T99" s="173"/>
      <c r="U99" s="184"/>
      <c r="AA99" s="49">
        <f t="shared" si="4"/>
        <v>0</v>
      </c>
      <c r="AB99" s="49">
        <f t="shared" si="5"/>
        <v>0</v>
      </c>
      <c r="AC99" s="131" t="e">
        <f t="shared" si="3"/>
        <v>#N/A</v>
      </c>
    </row>
    <row r="100" spans="2:29" x14ac:dyDescent="0.25">
      <c r="B100" s="127"/>
      <c r="C100" s="183"/>
      <c r="D100" s="128"/>
      <c r="E100" s="128"/>
      <c r="F100" s="128"/>
      <c r="G100" s="175"/>
      <c r="H100" s="175"/>
      <c r="I100" s="140"/>
      <c r="J100" s="175"/>
      <c r="K100" s="140"/>
      <c r="L100" s="175"/>
      <c r="M100" s="140"/>
      <c r="N100" s="175"/>
      <c r="O100" s="140"/>
      <c r="P100" s="128"/>
      <c r="Q100" s="130"/>
      <c r="R100" s="130"/>
      <c r="S100" s="173"/>
      <c r="T100" s="173"/>
      <c r="U100" s="184"/>
      <c r="AA100" s="49">
        <f t="shared" si="4"/>
        <v>0</v>
      </c>
      <c r="AB100" s="49">
        <f t="shared" si="5"/>
        <v>0</v>
      </c>
      <c r="AC100" s="131" t="e">
        <f t="shared" si="3"/>
        <v>#N/A</v>
      </c>
    </row>
    <row r="101" spans="2:29" x14ac:dyDescent="0.25">
      <c r="B101" s="127"/>
      <c r="C101" s="183"/>
      <c r="D101" s="128"/>
      <c r="E101" s="128"/>
      <c r="F101" s="128"/>
      <c r="G101" s="175"/>
      <c r="H101" s="175"/>
      <c r="I101" s="140"/>
      <c r="J101" s="175"/>
      <c r="K101" s="140"/>
      <c r="L101" s="175"/>
      <c r="M101" s="140"/>
      <c r="N101" s="175"/>
      <c r="O101" s="140"/>
      <c r="P101" s="128"/>
      <c r="Q101" s="130"/>
      <c r="R101" s="130"/>
      <c r="S101" s="173"/>
      <c r="T101" s="173"/>
      <c r="U101" s="184"/>
      <c r="AA101" s="49">
        <f t="shared" si="4"/>
        <v>0</v>
      </c>
      <c r="AB101" s="49">
        <f t="shared" si="5"/>
        <v>0</v>
      </c>
      <c r="AC101" s="131" t="e">
        <f t="shared" si="3"/>
        <v>#N/A</v>
      </c>
    </row>
    <row r="102" spans="2:29" x14ac:dyDescent="0.25">
      <c r="B102" s="127"/>
      <c r="C102" s="183"/>
      <c r="D102" s="128"/>
      <c r="E102" s="128"/>
      <c r="F102" s="128"/>
      <c r="G102" s="175"/>
      <c r="H102" s="175"/>
      <c r="I102" s="140"/>
      <c r="J102" s="175"/>
      <c r="K102" s="140"/>
      <c r="L102" s="175"/>
      <c r="M102" s="140"/>
      <c r="N102" s="175"/>
      <c r="O102" s="140"/>
      <c r="P102" s="128"/>
      <c r="Q102" s="130"/>
      <c r="R102" s="130"/>
      <c r="S102" s="173"/>
      <c r="T102" s="173"/>
      <c r="U102" s="184"/>
      <c r="AA102" s="49">
        <f t="shared" si="4"/>
        <v>0</v>
      </c>
      <c r="AB102" s="49">
        <f t="shared" si="5"/>
        <v>0</v>
      </c>
      <c r="AC102" s="131" t="e">
        <f t="shared" si="3"/>
        <v>#N/A</v>
      </c>
    </row>
    <row r="103" spans="2:29" x14ac:dyDescent="0.25">
      <c r="B103" s="127"/>
      <c r="C103" s="183"/>
      <c r="D103" s="128"/>
      <c r="E103" s="128"/>
      <c r="F103" s="128"/>
      <c r="G103" s="175"/>
      <c r="H103" s="175"/>
      <c r="I103" s="140"/>
      <c r="J103" s="175"/>
      <c r="K103" s="140"/>
      <c r="L103" s="175"/>
      <c r="M103" s="140"/>
      <c r="N103" s="175"/>
      <c r="O103" s="140"/>
      <c r="P103" s="128"/>
      <c r="Q103" s="130"/>
      <c r="R103" s="130"/>
      <c r="S103" s="173"/>
      <c r="T103" s="173"/>
      <c r="U103" s="184"/>
      <c r="AA103" s="49">
        <f t="shared" si="4"/>
        <v>0</v>
      </c>
      <c r="AB103" s="49">
        <f t="shared" si="5"/>
        <v>0</v>
      </c>
      <c r="AC103" s="131" t="e">
        <f t="shared" si="3"/>
        <v>#N/A</v>
      </c>
    </row>
    <row r="104" spans="2:29" x14ac:dyDescent="0.25">
      <c r="B104" s="127"/>
      <c r="C104" s="183"/>
      <c r="D104" s="128"/>
      <c r="E104" s="128"/>
      <c r="F104" s="128"/>
      <c r="G104" s="175"/>
      <c r="H104" s="175"/>
      <c r="I104" s="140"/>
      <c r="J104" s="175"/>
      <c r="K104" s="140"/>
      <c r="L104" s="175"/>
      <c r="M104" s="140"/>
      <c r="N104" s="175"/>
      <c r="O104" s="140"/>
      <c r="P104" s="128"/>
      <c r="Q104" s="130"/>
      <c r="R104" s="130"/>
      <c r="S104" s="173"/>
      <c r="T104" s="173"/>
      <c r="U104" s="184"/>
      <c r="AA104" s="49">
        <f t="shared" si="4"/>
        <v>0</v>
      </c>
      <c r="AB104" s="49">
        <f t="shared" si="5"/>
        <v>0</v>
      </c>
      <c r="AC104" s="131" t="e">
        <f t="shared" si="3"/>
        <v>#N/A</v>
      </c>
    </row>
    <row r="105" spans="2:29" x14ac:dyDescent="0.25">
      <c r="B105" s="127"/>
      <c r="C105" s="183"/>
      <c r="D105" s="128"/>
      <c r="E105" s="128"/>
      <c r="F105" s="128"/>
      <c r="G105" s="175"/>
      <c r="H105" s="175"/>
      <c r="I105" s="140"/>
      <c r="J105" s="175"/>
      <c r="K105" s="140"/>
      <c r="L105" s="175"/>
      <c r="M105" s="140"/>
      <c r="N105" s="175"/>
      <c r="O105" s="140"/>
      <c r="P105" s="128"/>
      <c r="Q105" s="130"/>
      <c r="R105" s="130"/>
      <c r="S105" s="173"/>
      <c r="T105" s="173"/>
      <c r="U105" s="184"/>
      <c r="AA105" s="49">
        <f t="shared" si="4"/>
        <v>0</v>
      </c>
      <c r="AB105" s="49">
        <f t="shared" si="5"/>
        <v>0</v>
      </c>
      <c r="AC105" s="131" t="e">
        <f t="shared" si="3"/>
        <v>#N/A</v>
      </c>
    </row>
    <row r="106" spans="2:29" x14ac:dyDescent="0.25">
      <c r="B106" s="127"/>
      <c r="C106" s="183"/>
      <c r="D106" s="128"/>
      <c r="E106" s="128"/>
      <c r="F106" s="128"/>
      <c r="G106" s="175"/>
      <c r="H106" s="175"/>
      <c r="I106" s="140"/>
      <c r="J106" s="175"/>
      <c r="K106" s="140"/>
      <c r="L106" s="175"/>
      <c r="M106" s="140"/>
      <c r="N106" s="175"/>
      <c r="O106" s="140"/>
      <c r="P106" s="128"/>
      <c r="Q106" s="130"/>
      <c r="R106" s="130"/>
      <c r="S106" s="173"/>
      <c r="T106" s="173"/>
      <c r="U106" s="184"/>
      <c r="AA106" s="49">
        <f t="shared" si="4"/>
        <v>0</v>
      </c>
      <c r="AB106" s="49">
        <f t="shared" si="5"/>
        <v>0</v>
      </c>
      <c r="AC106" s="131" t="e">
        <f t="shared" si="3"/>
        <v>#N/A</v>
      </c>
    </row>
    <row r="107" spans="2:29" x14ac:dyDescent="0.25">
      <c r="B107" s="127"/>
      <c r="C107" s="183"/>
      <c r="D107" s="128"/>
      <c r="E107" s="128"/>
      <c r="F107" s="128"/>
      <c r="G107" s="175"/>
      <c r="H107" s="175"/>
      <c r="I107" s="140"/>
      <c r="J107" s="175"/>
      <c r="K107" s="140"/>
      <c r="L107" s="175"/>
      <c r="M107" s="140"/>
      <c r="N107" s="175"/>
      <c r="O107" s="140"/>
      <c r="P107" s="128"/>
      <c r="Q107" s="130"/>
      <c r="R107" s="130"/>
      <c r="S107" s="173"/>
      <c r="T107" s="173"/>
      <c r="U107" s="184"/>
      <c r="AA107" s="49">
        <f t="shared" si="4"/>
        <v>0</v>
      </c>
      <c r="AB107" s="49">
        <f t="shared" si="5"/>
        <v>0</v>
      </c>
      <c r="AC107" s="131" t="e">
        <f t="shared" si="3"/>
        <v>#N/A</v>
      </c>
    </row>
    <row r="108" spans="2:29" x14ac:dyDescent="0.25">
      <c r="B108" s="127"/>
      <c r="C108" s="183"/>
      <c r="D108" s="128"/>
      <c r="E108" s="128"/>
      <c r="F108" s="128"/>
      <c r="G108" s="175"/>
      <c r="H108" s="175"/>
      <c r="I108" s="140"/>
      <c r="J108" s="175"/>
      <c r="K108" s="140"/>
      <c r="L108" s="175"/>
      <c r="M108" s="140"/>
      <c r="N108" s="175"/>
      <c r="O108" s="140"/>
      <c r="P108" s="128"/>
      <c r="Q108" s="130"/>
      <c r="R108" s="130"/>
      <c r="S108" s="173"/>
      <c r="T108" s="173"/>
      <c r="U108" s="184"/>
      <c r="AA108" s="49">
        <f t="shared" si="4"/>
        <v>0</v>
      </c>
      <c r="AB108" s="49">
        <f t="shared" si="5"/>
        <v>0</v>
      </c>
      <c r="AC108" s="131" t="e">
        <f t="shared" si="3"/>
        <v>#N/A</v>
      </c>
    </row>
    <row r="109" spans="2:29" x14ac:dyDescent="0.25">
      <c r="B109" s="127"/>
      <c r="C109" s="183"/>
      <c r="D109" s="128"/>
      <c r="E109" s="128"/>
      <c r="F109" s="128"/>
      <c r="G109" s="175"/>
      <c r="H109" s="175"/>
      <c r="I109" s="140"/>
      <c r="J109" s="175"/>
      <c r="K109" s="140"/>
      <c r="L109" s="175"/>
      <c r="M109" s="140"/>
      <c r="N109" s="175"/>
      <c r="O109" s="140"/>
      <c r="P109" s="128"/>
      <c r="Q109" s="130"/>
      <c r="R109" s="130"/>
      <c r="S109" s="173"/>
      <c r="T109" s="173"/>
      <c r="U109" s="184"/>
      <c r="AA109" s="49">
        <f t="shared" si="4"/>
        <v>0</v>
      </c>
      <c r="AB109" s="49">
        <f t="shared" si="5"/>
        <v>0</v>
      </c>
      <c r="AC109" s="131" t="e">
        <f t="shared" si="3"/>
        <v>#N/A</v>
      </c>
    </row>
    <row r="110" spans="2:29" x14ac:dyDescent="0.25">
      <c r="B110" s="127"/>
      <c r="C110" s="183"/>
      <c r="D110" s="128"/>
      <c r="E110" s="128"/>
      <c r="F110" s="128"/>
      <c r="G110" s="175"/>
      <c r="H110" s="175"/>
      <c r="I110" s="140"/>
      <c r="J110" s="175"/>
      <c r="K110" s="140"/>
      <c r="L110" s="175"/>
      <c r="M110" s="140"/>
      <c r="N110" s="175"/>
      <c r="O110" s="140"/>
      <c r="P110" s="128"/>
      <c r="Q110" s="130"/>
      <c r="R110" s="130"/>
      <c r="S110" s="173"/>
      <c r="T110" s="173"/>
      <c r="U110" s="184"/>
      <c r="AA110" s="49">
        <f t="shared" si="4"/>
        <v>0</v>
      </c>
      <c r="AB110" s="49">
        <f t="shared" si="5"/>
        <v>0</v>
      </c>
      <c r="AC110" s="131" t="e">
        <f t="shared" si="3"/>
        <v>#N/A</v>
      </c>
    </row>
    <row r="111" spans="2:29" x14ac:dyDescent="0.25">
      <c r="B111" s="127"/>
      <c r="C111" s="183"/>
      <c r="D111" s="128"/>
      <c r="E111" s="128"/>
      <c r="F111" s="128"/>
      <c r="G111" s="175"/>
      <c r="H111" s="175"/>
      <c r="I111" s="140"/>
      <c r="J111" s="175"/>
      <c r="K111" s="140"/>
      <c r="L111" s="175"/>
      <c r="M111" s="140"/>
      <c r="N111" s="175"/>
      <c r="O111" s="140"/>
      <c r="P111" s="128"/>
      <c r="Q111" s="130"/>
      <c r="R111" s="130"/>
      <c r="S111" s="173"/>
      <c r="T111" s="173"/>
      <c r="U111" s="184"/>
      <c r="AA111" s="49">
        <f t="shared" si="4"/>
        <v>0</v>
      </c>
      <c r="AB111" s="49">
        <f t="shared" si="5"/>
        <v>0</v>
      </c>
      <c r="AC111" s="131" t="e">
        <f t="shared" si="3"/>
        <v>#N/A</v>
      </c>
    </row>
    <row r="112" spans="2:29" x14ac:dyDescent="0.25">
      <c r="B112" s="127"/>
      <c r="C112" s="183"/>
      <c r="D112" s="128"/>
      <c r="E112" s="128"/>
      <c r="F112" s="128"/>
      <c r="G112" s="175"/>
      <c r="H112" s="175"/>
      <c r="I112" s="140"/>
      <c r="J112" s="175"/>
      <c r="K112" s="140"/>
      <c r="L112" s="175"/>
      <c r="M112" s="140"/>
      <c r="N112" s="175"/>
      <c r="O112" s="140"/>
      <c r="P112" s="128"/>
      <c r="Q112" s="130"/>
      <c r="R112" s="130"/>
      <c r="S112" s="173"/>
      <c r="T112" s="173"/>
      <c r="U112" s="184"/>
      <c r="AA112" s="49">
        <f t="shared" si="4"/>
        <v>0</v>
      </c>
      <c r="AB112" s="49">
        <f t="shared" si="5"/>
        <v>0</v>
      </c>
      <c r="AC112" s="131" t="e">
        <f t="shared" si="3"/>
        <v>#N/A</v>
      </c>
    </row>
    <row r="113" spans="2:29" x14ac:dyDescent="0.25">
      <c r="B113" s="127"/>
      <c r="C113" s="183"/>
      <c r="D113" s="128"/>
      <c r="E113" s="128"/>
      <c r="F113" s="128"/>
      <c r="G113" s="175"/>
      <c r="H113" s="175"/>
      <c r="I113" s="140"/>
      <c r="J113" s="175"/>
      <c r="K113" s="140"/>
      <c r="L113" s="175"/>
      <c r="M113" s="140"/>
      <c r="N113" s="175"/>
      <c r="O113" s="140"/>
      <c r="P113" s="128"/>
      <c r="Q113" s="130"/>
      <c r="R113" s="130"/>
      <c r="S113" s="173"/>
      <c r="T113" s="173"/>
      <c r="U113" s="184"/>
      <c r="AA113" s="49">
        <f t="shared" si="4"/>
        <v>0</v>
      </c>
      <c r="AB113" s="49">
        <f t="shared" si="5"/>
        <v>0</v>
      </c>
      <c r="AC113" s="131" t="e">
        <f t="shared" si="3"/>
        <v>#N/A</v>
      </c>
    </row>
    <row r="114" spans="2:29" x14ac:dyDescent="0.25">
      <c r="B114" s="127"/>
      <c r="C114" s="183"/>
      <c r="D114" s="128"/>
      <c r="E114" s="128"/>
      <c r="F114" s="128"/>
      <c r="G114" s="175"/>
      <c r="H114" s="175"/>
      <c r="I114" s="140"/>
      <c r="J114" s="175"/>
      <c r="K114" s="140"/>
      <c r="L114" s="175"/>
      <c r="M114" s="140"/>
      <c r="N114" s="175"/>
      <c r="O114" s="140"/>
      <c r="P114" s="128"/>
      <c r="Q114" s="130"/>
      <c r="R114" s="130"/>
      <c r="S114" s="173"/>
      <c r="T114" s="173"/>
      <c r="U114" s="184"/>
      <c r="AA114" s="49">
        <f t="shared" si="4"/>
        <v>0</v>
      </c>
      <c r="AB114" s="49">
        <f t="shared" si="5"/>
        <v>0</v>
      </c>
      <c r="AC114" s="131" t="e">
        <f t="shared" si="3"/>
        <v>#N/A</v>
      </c>
    </row>
    <row r="115" spans="2:29" x14ac:dyDescent="0.25">
      <c r="B115" s="127"/>
      <c r="C115" s="183"/>
      <c r="D115" s="128"/>
      <c r="E115" s="128"/>
      <c r="F115" s="128"/>
      <c r="G115" s="175"/>
      <c r="H115" s="175"/>
      <c r="I115" s="140"/>
      <c r="J115" s="175"/>
      <c r="K115" s="140"/>
      <c r="L115" s="175"/>
      <c r="M115" s="140"/>
      <c r="N115" s="175"/>
      <c r="O115" s="140"/>
      <c r="P115" s="128"/>
      <c r="Q115" s="130"/>
      <c r="R115" s="130"/>
      <c r="S115" s="173"/>
      <c r="T115" s="173"/>
      <c r="U115" s="184"/>
      <c r="AA115" s="49">
        <f t="shared" si="4"/>
        <v>0</v>
      </c>
      <c r="AB115" s="49">
        <f t="shared" si="5"/>
        <v>0</v>
      </c>
      <c r="AC115" s="131" t="e">
        <f t="shared" si="3"/>
        <v>#N/A</v>
      </c>
    </row>
    <row r="116" spans="2:29" x14ac:dyDescent="0.25">
      <c r="B116" s="127"/>
      <c r="C116" s="183"/>
      <c r="D116" s="128"/>
      <c r="E116" s="128"/>
      <c r="F116" s="128"/>
      <c r="G116" s="175"/>
      <c r="H116" s="175"/>
      <c r="I116" s="140"/>
      <c r="J116" s="175"/>
      <c r="K116" s="140"/>
      <c r="L116" s="175"/>
      <c r="M116" s="140"/>
      <c r="N116" s="175"/>
      <c r="O116" s="140"/>
      <c r="P116" s="128"/>
      <c r="Q116" s="130"/>
      <c r="R116" s="130"/>
      <c r="S116" s="173"/>
      <c r="T116" s="173"/>
      <c r="U116" s="184"/>
      <c r="AA116" s="49">
        <f t="shared" si="4"/>
        <v>0</v>
      </c>
      <c r="AB116" s="49">
        <f t="shared" si="5"/>
        <v>0</v>
      </c>
      <c r="AC116" s="131" t="e">
        <f t="shared" si="3"/>
        <v>#N/A</v>
      </c>
    </row>
    <row r="117" spans="2:29" x14ac:dyDescent="0.25">
      <c r="B117" s="127"/>
      <c r="C117" s="183"/>
      <c r="D117" s="128"/>
      <c r="E117" s="128"/>
      <c r="F117" s="128"/>
      <c r="G117" s="175"/>
      <c r="H117" s="175"/>
      <c r="I117" s="140"/>
      <c r="J117" s="175"/>
      <c r="K117" s="140"/>
      <c r="L117" s="175"/>
      <c r="M117" s="140"/>
      <c r="N117" s="175"/>
      <c r="O117" s="140"/>
      <c r="P117" s="128"/>
      <c r="Q117" s="130"/>
      <c r="R117" s="130"/>
      <c r="S117" s="173"/>
      <c r="T117" s="173"/>
      <c r="U117" s="184"/>
      <c r="AA117" s="49">
        <f t="shared" si="4"/>
        <v>0</v>
      </c>
      <c r="AB117" s="49">
        <f t="shared" si="5"/>
        <v>0</v>
      </c>
      <c r="AC117" s="131" t="e">
        <f t="shared" si="3"/>
        <v>#N/A</v>
      </c>
    </row>
    <row r="118" spans="2:29" x14ac:dyDescent="0.25">
      <c r="B118" s="127"/>
      <c r="C118" s="183"/>
      <c r="D118" s="128"/>
      <c r="E118" s="128"/>
      <c r="F118" s="128"/>
      <c r="G118" s="175"/>
      <c r="H118" s="175"/>
      <c r="I118" s="140"/>
      <c r="J118" s="175"/>
      <c r="K118" s="140"/>
      <c r="L118" s="175"/>
      <c r="M118" s="140"/>
      <c r="N118" s="175"/>
      <c r="O118" s="140"/>
      <c r="P118" s="128"/>
      <c r="Q118" s="130"/>
      <c r="R118" s="130"/>
      <c r="S118" s="173"/>
      <c r="T118" s="173"/>
      <c r="U118" s="184"/>
      <c r="AA118" s="49">
        <f t="shared" si="4"/>
        <v>0</v>
      </c>
      <c r="AB118" s="49">
        <f t="shared" si="5"/>
        <v>0</v>
      </c>
      <c r="AC118" s="131" t="e">
        <f t="shared" si="3"/>
        <v>#N/A</v>
      </c>
    </row>
    <row r="119" spans="2:29" x14ac:dyDescent="0.25">
      <c r="B119" s="127"/>
      <c r="C119" s="183"/>
      <c r="D119" s="128"/>
      <c r="E119" s="128"/>
      <c r="F119" s="128"/>
      <c r="G119" s="175"/>
      <c r="H119" s="175"/>
      <c r="I119" s="140"/>
      <c r="J119" s="175"/>
      <c r="K119" s="140"/>
      <c r="L119" s="175"/>
      <c r="M119" s="140"/>
      <c r="N119" s="175"/>
      <c r="O119" s="140"/>
      <c r="P119" s="128"/>
      <c r="Q119" s="130"/>
      <c r="R119" s="130"/>
      <c r="S119" s="173"/>
      <c r="T119" s="173"/>
      <c r="U119" s="184"/>
      <c r="AA119" s="49">
        <f t="shared" si="4"/>
        <v>0</v>
      </c>
      <c r="AB119" s="49">
        <f t="shared" si="5"/>
        <v>0</v>
      </c>
      <c r="AC119" s="131" t="e">
        <f t="shared" si="3"/>
        <v>#N/A</v>
      </c>
    </row>
    <row r="120" spans="2:29" x14ac:dyDescent="0.25">
      <c r="B120" s="127"/>
      <c r="C120" s="183"/>
      <c r="D120" s="128"/>
      <c r="E120" s="128"/>
      <c r="F120" s="128"/>
      <c r="G120" s="175"/>
      <c r="H120" s="175"/>
      <c r="I120" s="140"/>
      <c r="J120" s="175"/>
      <c r="K120" s="140"/>
      <c r="L120" s="175"/>
      <c r="M120" s="140"/>
      <c r="N120" s="175"/>
      <c r="O120" s="140"/>
      <c r="P120" s="128"/>
      <c r="Q120" s="130"/>
      <c r="R120" s="130"/>
      <c r="S120" s="173"/>
      <c r="T120" s="173"/>
      <c r="U120" s="184"/>
      <c r="AA120" s="49">
        <f t="shared" si="4"/>
        <v>0</v>
      </c>
      <c r="AB120" s="49">
        <f t="shared" si="5"/>
        <v>0</v>
      </c>
      <c r="AC120" s="131" t="e">
        <f t="shared" si="3"/>
        <v>#N/A</v>
      </c>
    </row>
    <row r="121" spans="2:29" x14ac:dyDescent="0.25">
      <c r="B121" s="127"/>
      <c r="C121" s="183"/>
      <c r="D121" s="128"/>
      <c r="E121" s="128"/>
      <c r="F121" s="128"/>
      <c r="G121" s="175"/>
      <c r="H121" s="175"/>
      <c r="I121" s="140"/>
      <c r="J121" s="175"/>
      <c r="K121" s="140"/>
      <c r="L121" s="175"/>
      <c r="M121" s="140"/>
      <c r="N121" s="175"/>
      <c r="O121" s="140"/>
      <c r="P121" s="128"/>
      <c r="Q121" s="130"/>
      <c r="R121" s="130"/>
      <c r="S121" s="173"/>
      <c r="T121" s="173"/>
      <c r="U121" s="184"/>
      <c r="AA121" s="49">
        <f t="shared" si="4"/>
        <v>0</v>
      </c>
      <c r="AB121" s="49">
        <f t="shared" si="5"/>
        <v>0</v>
      </c>
      <c r="AC121" s="131" t="e">
        <f t="shared" si="3"/>
        <v>#N/A</v>
      </c>
    </row>
    <row r="122" spans="2:29" x14ac:dyDescent="0.25">
      <c r="B122" s="127"/>
      <c r="C122" s="183"/>
      <c r="D122" s="128"/>
      <c r="E122" s="128"/>
      <c r="F122" s="128"/>
      <c r="G122" s="175"/>
      <c r="H122" s="175"/>
      <c r="I122" s="140"/>
      <c r="J122" s="175"/>
      <c r="K122" s="140"/>
      <c r="L122" s="175"/>
      <c r="M122" s="140"/>
      <c r="N122" s="175"/>
      <c r="O122" s="140"/>
      <c r="P122" s="128"/>
      <c r="Q122" s="130"/>
      <c r="R122" s="130"/>
      <c r="S122" s="173"/>
      <c r="T122" s="173"/>
      <c r="U122" s="184"/>
      <c r="AA122" s="49">
        <f t="shared" si="4"/>
        <v>0</v>
      </c>
      <c r="AB122" s="49">
        <f t="shared" si="5"/>
        <v>0</v>
      </c>
      <c r="AC122" s="131" t="e">
        <f t="shared" si="3"/>
        <v>#N/A</v>
      </c>
    </row>
    <row r="123" spans="2:29" x14ac:dyDescent="0.25">
      <c r="B123" s="127"/>
      <c r="C123" s="183"/>
      <c r="D123" s="128"/>
      <c r="E123" s="128"/>
      <c r="F123" s="128"/>
      <c r="G123" s="175"/>
      <c r="H123" s="175"/>
      <c r="I123" s="140"/>
      <c r="J123" s="175"/>
      <c r="K123" s="140"/>
      <c r="L123" s="175"/>
      <c r="M123" s="140"/>
      <c r="N123" s="175"/>
      <c r="O123" s="140"/>
      <c r="P123" s="128"/>
      <c r="Q123" s="130"/>
      <c r="R123" s="130"/>
      <c r="S123" s="173"/>
      <c r="T123" s="173"/>
      <c r="U123" s="184"/>
      <c r="AA123" s="49">
        <f t="shared" si="4"/>
        <v>0</v>
      </c>
      <c r="AB123" s="49">
        <f t="shared" si="5"/>
        <v>0</v>
      </c>
      <c r="AC123" s="131" t="e">
        <f t="shared" si="3"/>
        <v>#N/A</v>
      </c>
    </row>
    <row r="124" spans="2:29" x14ac:dyDescent="0.25">
      <c r="B124" s="127"/>
      <c r="C124" s="183"/>
      <c r="D124" s="128"/>
      <c r="E124" s="128"/>
      <c r="F124" s="128"/>
      <c r="G124" s="175"/>
      <c r="H124" s="175"/>
      <c r="I124" s="140"/>
      <c r="J124" s="175"/>
      <c r="K124" s="140"/>
      <c r="L124" s="175"/>
      <c r="M124" s="140"/>
      <c r="N124" s="175"/>
      <c r="O124" s="140"/>
      <c r="P124" s="128"/>
      <c r="Q124" s="130"/>
      <c r="R124" s="130"/>
      <c r="S124" s="173"/>
      <c r="T124" s="173"/>
      <c r="U124" s="184"/>
      <c r="AA124" s="49">
        <f t="shared" si="4"/>
        <v>0</v>
      </c>
      <c r="AB124" s="49">
        <f t="shared" si="5"/>
        <v>0</v>
      </c>
      <c r="AC124" s="131" t="e">
        <f t="shared" si="3"/>
        <v>#N/A</v>
      </c>
    </row>
    <row r="125" spans="2:29" x14ac:dyDescent="0.25">
      <c r="B125" s="127"/>
      <c r="C125" s="183"/>
      <c r="D125" s="128"/>
      <c r="E125" s="128"/>
      <c r="F125" s="128"/>
      <c r="G125" s="175"/>
      <c r="H125" s="175"/>
      <c r="I125" s="140"/>
      <c r="J125" s="175"/>
      <c r="K125" s="140"/>
      <c r="L125" s="175"/>
      <c r="M125" s="140"/>
      <c r="N125" s="175"/>
      <c r="O125" s="140"/>
      <c r="P125" s="128"/>
      <c r="Q125" s="130"/>
      <c r="R125" s="130"/>
      <c r="S125" s="173"/>
      <c r="T125" s="173"/>
      <c r="U125" s="184"/>
      <c r="AA125" s="49">
        <f t="shared" si="4"/>
        <v>0</v>
      </c>
      <c r="AB125" s="49">
        <f t="shared" si="5"/>
        <v>0</v>
      </c>
      <c r="AC125" s="131" t="e">
        <f t="shared" si="3"/>
        <v>#N/A</v>
      </c>
    </row>
    <row r="126" spans="2:29" x14ac:dyDescent="0.25">
      <c r="B126" s="127"/>
      <c r="C126" s="183"/>
      <c r="D126" s="128"/>
      <c r="E126" s="128"/>
      <c r="F126" s="128"/>
      <c r="G126" s="175"/>
      <c r="H126" s="175"/>
      <c r="I126" s="140"/>
      <c r="J126" s="175"/>
      <c r="K126" s="140"/>
      <c r="L126" s="175"/>
      <c r="M126" s="140"/>
      <c r="N126" s="175"/>
      <c r="O126" s="140"/>
      <c r="P126" s="128"/>
      <c r="Q126" s="130"/>
      <c r="R126" s="130"/>
      <c r="S126" s="173"/>
      <c r="T126" s="173"/>
      <c r="U126" s="184"/>
      <c r="AA126" s="49">
        <f t="shared" si="4"/>
        <v>0</v>
      </c>
      <c r="AB126" s="49">
        <f t="shared" si="5"/>
        <v>0</v>
      </c>
      <c r="AC126" s="131" t="e">
        <f t="shared" si="3"/>
        <v>#N/A</v>
      </c>
    </row>
    <row r="127" spans="2:29" x14ac:dyDescent="0.25">
      <c r="B127" s="127"/>
      <c r="C127" s="183"/>
      <c r="D127" s="128"/>
      <c r="E127" s="128"/>
      <c r="F127" s="128"/>
      <c r="G127" s="175"/>
      <c r="H127" s="175"/>
      <c r="I127" s="140"/>
      <c r="J127" s="175"/>
      <c r="K127" s="140"/>
      <c r="L127" s="175"/>
      <c r="M127" s="140"/>
      <c r="N127" s="175"/>
      <c r="O127" s="140"/>
      <c r="P127" s="128"/>
      <c r="Q127" s="130"/>
      <c r="R127" s="130"/>
      <c r="S127" s="173"/>
      <c r="T127" s="173"/>
      <c r="U127" s="184"/>
      <c r="AA127" s="49">
        <f t="shared" si="4"/>
        <v>0</v>
      </c>
      <c r="AB127" s="49">
        <f t="shared" si="5"/>
        <v>0</v>
      </c>
      <c r="AC127" s="131" t="e">
        <f t="shared" si="3"/>
        <v>#N/A</v>
      </c>
    </row>
    <row r="128" spans="2:29" x14ac:dyDescent="0.25">
      <c r="B128" s="127"/>
      <c r="C128" s="183"/>
      <c r="D128" s="128"/>
      <c r="E128" s="128"/>
      <c r="F128" s="128"/>
      <c r="G128" s="175"/>
      <c r="H128" s="175"/>
      <c r="I128" s="140"/>
      <c r="J128" s="175"/>
      <c r="K128" s="140"/>
      <c r="L128" s="175"/>
      <c r="M128" s="140"/>
      <c r="N128" s="175"/>
      <c r="O128" s="140"/>
      <c r="P128" s="128"/>
      <c r="Q128" s="130"/>
      <c r="R128" s="130"/>
      <c r="S128" s="173"/>
      <c r="T128" s="173"/>
      <c r="U128" s="184"/>
      <c r="AA128" s="49">
        <f t="shared" si="4"/>
        <v>0</v>
      </c>
      <c r="AB128" s="49">
        <f t="shared" si="5"/>
        <v>0</v>
      </c>
      <c r="AC128" s="131" t="e">
        <f t="shared" si="3"/>
        <v>#N/A</v>
      </c>
    </row>
    <row r="129" spans="2:29" x14ac:dyDescent="0.25">
      <c r="B129" s="127"/>
      <c r="C129" s="183"/>
      <c r="D129" s="128"/>
      <c r="E129" s="128"/>
      <c r="F129" s="128"/>
      <c r="G129" s="175"/>
      <c r="H129" s="175"/>
      <c r="I129" s="140"/>
      <c r="J129" s="175"/>
      <c r="K129" s="140"/>
      <c r="L129" s="175"/>
      <c r="M129" s="140"/>
      <c r="N129" s="175"/>
      <c r="O129" s="140"/>
      <c r="P129" s="128"/>
      <c r="Q129" s="130"/>
      <c r="R129" s="130"/>
      <c r="S129" s="173"/>
      <c r="T129" s="173"/>
      <c r="U129" s="184"/>
      <c r="AA129" s="49">
        <f t="shared" si="4"/>
        <v>0</v>
      </c>
      <c r="AB129" s="49">
        <f t="shared" si="5"/>
        <v>0</v>
      </c>
      <c r="AC129" s="131" t="e">
        <f t="shared" si="3"/>
        <v>#N/A</v>
      </c>
    </row>
    <row r="130" spans="2:29" x14ac:dyDescent="0.25">
      <c r="B130" s="127"/>
      <c r="C130" s="183"/>
      <c r="D130" s="128"/>
      <c r="E130" s="128"/>
      <c r="F130" s="128"/>
      <c r="G130" s="175"/>
      <c r="H130" s="175"/>
      <c r="I130" s="140"/>
      <c r="J130" s="175"/>
      <c r="K130" s="140"/>
      <c r="L130" s="175"/>
      <c r="M130" s="140"/>
      <c r="N130" s="175"/>
      <c r="O130" s="140"/>
      <c r="P130" s="128"/>
      <c r="Q130" s="130"/>
      <c r="R130" s="130"/>
      <c r="S130" s="173"/>
      <c r="T130" s="173"/>
      <c r="U130" s="184"/>
      <c r="AA130" s="49">
        <f t="shared" si="4"/>
        <v>0</v>
      </c>
      <c r="AB130" s="49">
        <f t="shared" si="5"/>
        <v>0</v>
      </c>
      <c r="AC130" s="131" t="e">
        <f t="shared" si="3"/>
        <v>#N/A</v>
      </c>
    </row>
    <row r="131" spans="2:29" x14ac:dyDescent="0.25">
      <c r="B131" s="127"/>
      <c r="C131" s="183"/>
      <c r="D131" s="128"/>
      <c r="E131" s="128"/>
      <c r="F131" s="128"/>
      <c r="G131" s="175"/>
      <c r="H131" s="175"/>
      <c r="I131" s="140"/>
      <c r="J131" s="175"/>
      <c r="K131" s="140"/>
      <c r="L131" s="175"/>
      <c r="M131" s="140"/>
      <c r="N131" s="175"/>
      <c r="O131" s="140"/>
      <c r="P131" s="128"/>
      <c r="Q131" s="130"/>
      <c r="R131" s="130"/>
      <c r="S131" s="173"/>
      <c r="T131" s="173"/>
      <c r="U131" s="184"/>
      <c r="AA131" s="49">
        <f t="shared" si="4"/>
        <v>0</v>
      </c>
      <c r="AB131" s="49">
        <f t="shared" si="5"/>
        <v>0</v>
      </c>
      <c r="AC131" s="131" t="e">
        <f t="shared" si="3"/>
        <v>#N/A</v>
      </c>
    </row>
    <row r="132" spans="2:29" x14ac:dyDescent="0.25">
      <c r="B132" s="127"/>
      <c r="C132" s="183"/>
      <c r="D132" s="128"/>
      <c r="E132" s="128"/>
      <c r="F132" s="128"/>
      <c r="G132" s="175"/>
      <c r="H132" s="175"/>
      <c r="I132" s="140"/>
      <c r="J132" s="175"/>
      <c r="K132" s="140"/>
      <c r="L132" s="175"/>
      <c r="M132" s="140"/>
      <c r="N132" s="175"/>
      <c r="O132" s="140"/>
      <c r="P132" s="128"/>
      <c r="Q132" s="130"/>
      <c r="R132" s="130"/>
      <c r="S132" s="173"/>
      <c r="T132" s="173"/>
      <c r="U132" s="184"/>
      <c r="AA132" s="49">
        <f t="shared" si="4"/>
        <v>0</v>
      </c>
      <c r="AB132" s="49">
        <f t="shared" si="5"/>
        <v>0</v>
      </c>
      <c r="AC132" s="131" t="e">
        <f t="shared" si="3"/>
        <v>#N/A</v>
      </c>
    </row>
    <row r="133" spans="2:29" x14ac:dyDescent="0.25">
      <c r="B133" s="127"/>
      <c r="C133" s="183"/>
      <c r="D133" s="128"/>
      <c r="E133" s="128"/>
      <c r="F133" s="128"/>
      <c r="G133" s="175"/>
      <c r="H133" s="175"/>
      <c r="I133" s="140"/>
      <c r="J133" s="175"/>
      <c r="K133" s="140"/>
      <c r="L133" s="175"/>
      <c r="M133" s="140"/>
      <c r="N133" s="175"/>
      <c r="O133" s="140"/>
      <c r="P133" s="128"/>
      <c r="Q133" s="130"/>
      <c r="R133" s="130"/>
      <c r="S133" s="173"/>
      <c r="T133" s="173"/>
      <c r="U133" s="184"/>
      <c r="AA133" s="49">
        <f t="shared" si="4"/>
        <v>0</v>
      </c>
      <c r="AB133" s="49">
        <f t="shared" si="5"/>
        <v>0</v>
      </c>
      <c r="AC133" s="131" t="e">
        <f t="shared" si="3"/>
        <v>#N/A</v>
      </c>
    </row>
    <row r="134" spans="2:29" x14ac:dyDescent="0.25">
      <c r="B134" s="127"/>
      <c r="C134" s="183"/>
      <c r="D134" s="128"/>
      <c r="E134" s="128"/>
      <c r="F134" s="128"/>
      <c r="G134" s="175"/>
      <c r="H134" s="175"/>
      <c r="I134" s="140"/>
      <c r="J134" s="175"/>
      <c r="K134" s="140"/>
      <c r="L134" s="175"/>
      <c r="M134" s="140"/>
      <c r="N134" s="175"/>
      <c r="O134" s="140"/>
      <c r="P134" s="128"/>
      <c r="Q134" s="130"/>
      <c r="R134" s="130"/>
      <c r="S134" s="173"/>
      <c r="T134" s="173"/>
      <c r="U134" s="184"/>
      <c r="AA134" s="49">
        <f t="shared" si="4"/>
        <v>0</v>
      </c>
      <c r="AB134" s="49">
        <f t="shared" si="5"/>
        <v>0</v>
      </c>
      <c r="AC134" s="131" t="e">
        <f t="shared" si="3"/>
        <v>#N/A</v>
      </c>
    </row>
    <row r="135" spans="2:29" x14ac:dyDescent="0.25">
      <c r="B135" s="127"/>
      <c r="C135" s="183"/>
      <c r="D135" s="128"/>
      <c r="E135" s="128"/>
      <c r="F135" s="128"/>
      <c r="G135" s="175"/>
      <c r="H135" s="175"/>
      <c r="I135" s="140"/>
      <c r="J135" s="175"/>
      <c r="K135" s="140"/>
      <c r="L135" s="175"/>
      <c r="M135" s="140"/>
      <c r="N135" s="175"/>
      <c r="O135" s="140"/>
      <c r="P135" s="128"/>
      <c r="Q135" s="130"/>
      <c r="R135" s="130"/>
      <c r="S135" s="173"/>
      <c r="T135" s="173"/>
      <c r="U135" s="184"/>
      <c r="AA135" s="49">
        <f t="shared" si="4"/>
        <v>0</v>
      </c>
      <c r="AB135" s="49">
        <f t="shared" si="5"/>
        <v>0</v>
      </c>
      <c r="AC135" s="131" t="e">
        <f t="shared" si="3"/>
        <v>#N/A</v>
      </c>
    </row>
    <row r="136" spans="2:29" x14ac:dyDescent="0.25">
      <c r="B136" s="127"/>
      <c r="C136" s="183"/>
      <c r="D136" s="128"/>
      <c r="E136" s="128"/>
      <c r="F136" s="128"/>
      <c r="G136" s="175"/>
      <c r="H136" s="175"/>
      <c r="I136" s="140"/>
      <c r="J136" s="175"/>
      <c r="K136" s="140"/>
      <c r="L136" s="175"/>
      <c r="M136" s="140"/>
      <c r="N136" s="175"/>
      <c r="O136" s="140"/>
      <c r="P136" s="128"/>
      <c r="Q136" s="130"/>
      <c r="R136" s="130"/>
      <c r="S136" s="173"/>
      <c r="T136" s="173"/>
      <c r="U136" s="184"/>
      <c r="AA136" s="49">
        <f t="shared" si="4"/>
        <v>0</v>
      </c>
      <c r="AB136" s="49">
        <f t="shared" si="5"/>
        <v>0</v>
      </c>
      <c r="AC136" s="131" t="e">
        <f t="shared" si="3"/>
        <v>#N/A</v>
      </c>
    </row>
    <row r="137" spans="2:29" x14ac:dyDescent="0.25">
      <c r="B137" s="127"/>
      <c r="C137" s="183"/>
      <c r="D137" s="128"/>
      <c r="E137" s="128"/>
      <c r="F137" s="128"/>
      <c r="G137" s="175"/>
      <c r="H137" s="175"/>
      <c r="I137" s="140"/>
      <c r="J137" s="175"/>
      <c r="K137" s="140"/>
      <c r="L137" s="175"/>
      <c r="M137" s="140"/>
      <c r="N137" s="175"/>
      <c r="O137" s="140"/>
      <c r="P137" s="128"/>
      <c r="Q137" s="130"/>
      <c r="R137" s="130"/>
      <c r="S137" s="173"/>
      <c r="T137" s="173"/>
      <c r="U137" s="184"/>
      <c r="AA137" s="49">
        <f t="shared" si="4"/>
        <v>0</v>
      </c>
      <c r="AB137" s="49">
        <f t="shared" si="5"/>
        <v>0</v>
      </c>
      <c r="AC137" s="131" t="e">
        <f t="shared" si="3"/>
        <v>#N/A</v>
      </c>
    </row>
    <row r="138" spans="2:29" x14ac:dyDescent="0.25">
      <c r="B138" s="127"/>
      <c r="C138" s="183"/>
      <c r="D138" s="128"/>
      <c r="E138" s="128"/>
      <c r="F138" s="128"/>
      <c r="G138" s="175"/>
      <c r="H138" s="175"/>
      <c r="I138" s="140"/>
      <c r="J138" s="175"/>
      <c r="K138" s="140"/>
      <c r="L138" s="175"/>
      <c r="M138" s="140"/>
      <c r="N138" s="175"/>
      <c r="O138" s="140"/>
      <c r="P138" s="128"/>
      <c r="Q138" s="130"/>
      <c r="R138" s="130"/>
      <c r="S138" s="173"/>
      <c r="T138" s="173"/>
      <c r="U138" s="184"/>
      <c r="AA138" s="49">
        <f t="shared" si="4"/>
        <v>0</v>
      </c>
      <c r="AB138" s="49">
        <f t="shared" si="5"/>
        <v>0</v>
      </c>
      <c r="AC138" s="131" t="e">
        <f t="shared" si="3"/>
        <v>#N/A</v>
      </c>
    </row>
    <row r="139" spans="2:29" x14ac:dyDescent="0.25">
      <c r="B139" s="127"/>
      <c r="C139" s="183"/>
      <c r="D139" s="128"/>
      <c r="E139" s="128"/>
      <c r="F139" s="128"/>
      <c r="G139" s="175"/>
      <c r="H139" s="175"/>
      <c r="I139" s="140"/>
      <c r="J139" s="175"/>
      <c r="K139" s="140"/>
      <c r="L139" s="175"/>
      <c r="M139" s="140"/>
      <c r="N139" s="175"/>
      <c r="O139" s="140"/>
      <c r="P139" s="128"/>
      <c r="Q139" s="130"/>
      <c r="R139" s="130"/>
      <c r="S139" s="173"/>
      <c r="T139" s="173"/>
      <c r="U139" s="184"/>
      <c r="AA139" s="49">
        <f t="shared" si="4"/>
        <v>0</v>
      </c>
      <c r="AB139" s="49">
        <f t="shared" si="5"/>
        <v>0</v>
      </c>
      <c r="AC139" s="131" t="e">
        <f t="shared" si="3"/>
        <v>#N/A</v>
      </c>
    </row>
    <row r="140" spans="2:29" x14ac:dyDescent="0.25">
      <c r="B140" s="127"/>
      <c r="C140" s="183"/>
      <c r="D140" s="128"/>
      <c r="E140" s="128"/>
      <c r="F140" s="128"/>
      <c r="G140" s="175"/>
      <c r="H140" s="175"/>
      <c r="I140" s="140"/>
      <c r="J140" s="175"/>
      <c r="K140" s="140"/>
      <c r="L140" s="175"/>
      <c r="M140" s="140"/>
      <c r="N140" s="175"/>
      <c r="O140" s="140"/>
      <c r="P140" s="128"/>
      <c r="Q140" s="130"/>
      <c r="R140" s="130"/>
      <c r="S140" s="173"/>
      <c r="T140" s="173"/>
      <c r="U140" s="184"/>
      <c r="AA140" s="49">
        <f t="shared" si="4"/>
        <v>0</v>
      </c>
      <c r="AB140" s="49">
        <f t="shared" si="5"/>
        <v>0</v>
      </c>
      <c r="AC140" s="131" t="e">
        <f t="shared" si="3"/>
        <v>#N/A</v>
      </c>
    </row>
    <row r="141" spans="2:29" x14ac:dyDescent="0.25">
      <c r="B141" s="127"/>
      <c r="C141" s="183"/>
      <c r="D141" s="128"/>
      <c r="E141" s="128"/>
      <c r="F141" s="128"/>
      <c r="G141" s="175"/>
      <c r="H141" s="175"/>
      <c r="I141" s="140"/>
      <c r="J141" s="175"/>
      <c r="K141" s="140"/>
      <c r="L141" s="175"/>
      <c r="M141" s="140"/>
      <c r="N141" s="175"/>
      <c r="O141" s="140"/>
      <c r="P141" s="128"/>
      <c r="Q141" s="130"/>
      <c r="R141" s="130"/>
      <c r="S141" s="173"/>
      <c r="T141" s="173"/>
      <c r="U141" s="184"/>
      <c r="AA141" s="49">
        <f t="shared" si="4"/>
        <v>0</v>
      </c>
      <c r="AB141" s="49">
        <f t="shared" si="5"/>
        <v>0</v>
      </c>
      <c r="AC141" s="131" t="e">
        <f t="shared" si="3"/>
        <v>#N/A</v>
      </c>
    </row>
    <row r="142" spans="2:29" x14ac:dyDescent="0.25">
      <c r="B142" s="127"/>
      <c r="C142" s="183"/>
      <c r="D142" s="128"/>
      <c r="E142" s="128"/>
      <c r="F142" s="128"/>
      <c r="G142" s="175"/>
      <c r="H142" s="175"/>
      <c r="I142" s="140"/>
      <c r="J142" s="175"/>
      <c r="K142" s="140"/>
      <c r="L142" s="175"/>
      <c r="M142" s="140"/>
      <c r="N142" s="175"/>
      <c r="O142" s="140"/>
      <c r="P142" s="128"/>
      <c r="Q142" s="130"/>
      <c r="R142" s="130"/>
      <c r="S142" s="173"/>
      <c r="T142" s="173"/>
      <c r="U142" s="184"/>
      <c r="AA142" s="49">
        <f t="shared" si="4"/>
        <v>0</v>
      </c>
      <c r="AB142" s="49">
        <f t="shared" si="5"/>
        <v>0</v>
      </c>
      <c r="AC142" s="131" t="e">
        <f t="shared" si="3"/>
        <v>#N/A</v>
      </c>
    </row>
    <row r="143" spans="2:29" x14ac:dyDescent="0.25">
      <c r="B143" s="127"/>
      <c r="C143" s="183"/>
      <c r="D143" s="128"/>
      <c r="E143" s="128"/>
      <c r="F143" s="128"/>
      <c r="G143" s="175"/>
      <c r="H143" s="175"/>
      <c r="I143" s="140"/>
      <c r="J143" s="175"/>
      <c r="K143" s="140"/>
      <c r="L143" s="175"/>
      <c r="M143" s="140"/>
      <c r="N143" s="175"/>
      <c r="O143" s="140"/>
      <c r="P143" s="128"/>
      <c r="Q143" s="130"/>
      <c r="R143" s="130"/>
      <c r="S143" s="173"/>
      <c r="T143" s="173"/>
      <c r="U143" s="184"/>
      <c r="AA143" s="49">
        <f t="shared" si="4"/>
        <v>0</v>
      </c>
      <c r="AB143" s="49">
        <f t="shared" si="5"/>
        <v>0</v>
      </c>
      <c r="AC143" s="131" t="e">
        <f t="shared" si="3"/>
        <v>#N/A</v>
      </c>
    </row>
    <row r="144" spans="2:29" x14ac:dyDescent="0.25">
      <c r="B144" s="127"/>
      <c r="C144" s="183"/>
      <c r="D144" s="128"/>
      <c r="E144" s="128"/>
      <c r="F144" s="128"/>
      <c r="G144" s="175"/>
      <c r="H144" s="175"/>
      <c r="I144" s="140"/>
      <c r="J144" s="175"/>
      <c r="K144" s="140"/>
      <c r="L144" s="175"/>
      <c r="M144" s="140"/>
      <c r="N144" s="175"/>
      <c r="O144" s="140"/>
      <c r="P144" s="128"/>
      <c r="Q144" s="130"/>
      <c r="R144" s="130"/>
      <c r="S144" s="173"/>
      <c r="T144" s="173"/>
      <c r="U144" s="184"/>
      <c r="AA144" s="49">
        <f t="shared" si="4"/>
        <v>0</v>
      </c>
      <c r="AB144" s="49">
        <f t="shared" si="5"/>
        <v>0</v>
      </c>
      <c r="AC144" s="131" t="e">
        <f t="shared" ref="AC144:AC207" si="6">VLOOKUP(C144,ChamberType,2,FALSE)</f>
        <v>#N/A</v>
      </c>
    </row>
    <row r="145" spans="2:29" x14ac:dyDescent="0.25">
      <c r="B145" s="127"/>
      <c r="C145" s="183"/>
      <c r="D145" s="128"/>
      <c r="E145" s="128"/>
      <c r="F145" s="128"/>
      <c r="G145" s="175"/>
      <c r="H145" s="175"/>
      <c r="I145" s="140"/>
      <c r="J145" s="175"/>
      <c r="K145" s="140"/>
      <c r="L145" s="175"/>
      <c r="M145" s="140"/>
      <c r="N145" s="175"/>
      <c r="O145" s="140"/>
      <c r="P145" s="128"/>
      <c r="Q145" s="130"/>
      <c r="R145" s="130"/>
      <c r="S145" s="173"/>
      <c r="T145" s="173"/>
      <c r="U145" s="184"/>
      <c r="AA145" s="49">
        <f t="shared" ref="AA145:AA208" si="7">D145+J145/6</f>
        <v>0</v>
      </c>
      <c r="AB145" s="49">
        <f t="shared" ref="AB145:AB208" si="8">D145+(J145+N145)/12</f>
        <v>0</v>
      </c>
      <c r="AC145" s="131" t="e">
        <f t="shared" si="6"/>
        <v>#N/A</v>
      </c>
    </row>
    <row r="146" spans="2:29" x14ac:dyDescent="0.25">
      <c r="B146" s="127"/>
      <c r="C146" s="183"/>
      <c r="D146" s="128"/>
      <c r="E146" s="128"/>
      <c r="F146" s="128"/>
      <c r="G146" s="175"/>
      <c r="H146" s="175"/>
      <c r="I146" s="140"/>
      <c r="J146" s="175"/>
      <c r="K146" s="140"/>
      <c r="L146" s="175"/>
      <c r="M146" s="140"/>
      <c r="N146" s="175"/>
      <c r="O146" s="140"/>
      <c r="P146" s="128"/>
      <c r="Q146" s="130"/>
      <c r="R146" s="130"/>
      <c r="S146" s="173"/>
      <c r="T146" s="173"/>
      <c r="U146" s="184"/>
      <c r="AA146" s="49">
        <f t="shared" si="7"/>
        <v>0</v>
      </c>
      <c r="AB146" s="49">
        <f t="shared" si="8"/>
        <v>0</v>
      </c>
      <c r="AC146" s="131" t="e">
        <f t="shared" si="6"/>
        <v>#N/A</v>
      </c>
    </row>
    <row r="147" spans="2:29" x14ac:dyDescent="0.25">
      <c r="B147" s="127"/>
      <c r="C147" s="183"/>
      <c r="D147" s="128"/>
      <c r="E147" s="128"/>
      <c r="F147" s="128"/>
      <c r="G147" s="175"/>
      <c r="H147" s="175"/>
      <c r="I147" s="140"/>
      <c r="J147" s="175"/>
      <c r="K147" s="140"/>
      <c r="L147" s="175"/>
      <c r="M147" s="140"/>
      <c r="N147" s="175"/>
      <c r="O147" s="140"/>
      <c r="P147" s="128"/>
      <c r="Q147" s="130"/>
      <c r="R147" s="130"/>
      <c r="S147" s="173"/>
      <c r="T147" s="173"/>
      <c r="U147" s="184"/>
      <c r="AA147" s="49">
        <f t="shared" si="7"/>
        <v>0</v>
      </c>
      <c r="AB147" s="49">
        <f t="shared" si="8"/>
        <v>0</v>
      </c>
      <c r="AC147" s="131" t="e">
        <f t="shared" si="6"/>
        <v>#N/A</v>
      </c>
    </row>
    <row r="148" spans="2:29" x14ac:dyDescent="0.25">
      <c r="B148" s="127"/>
      <c r="C148" s="183"/>
      <c r="D148" s="128"/>
      <c r="E148" s="128"/>
      <c r="F148" s="128"/>
      <c r="G148" s="175"/>
      <c r="H148" s="175"/>
      <c r="I148" s="140"/>
      <c r="J148" s="175"/>
      <c r="K148" s="140"/>
      <c r="L148" s="175"/>
      <c r="M148" s="140"/>
      <c r="N148" s="175"/>
      <c r="O148" s="140"/>
      <c r="P148" s="128"/>
      <c r="Q148" s="130"/>
      <c r="R148" s="130"/>
      <c r="S148" s="173"/>
      <c r="T148" s="173"/>
      <c r="U148" s="184"/>
      <c r="AA148" s="49">
        <f t="shared" si="7"/>
        <v>0</v>
      </c>
      <c r="AB148" s="49">
        <f t="shared" si="8"/>
        <v>0</v>
      </c>
      <c r="AC148" s="131" t="e">
        <f t="shared" si="6"/>
        <v>#N/A</v>
      </c>
    </row>
    <row r="149" spans="2:29" x14ac:dyDescent="0.25">
      <c r="B149" s="127"/>
      <c r="C149" s="183"/>
      <c r="D149" s="128"/>
      <c r="E149" s="128"/>
      <c r="F149" s="128"/>
      <c r="G149" s="175"/>
      <c r="H149" s="175"/>
      <c r="I149" s="140"/>
      <c r="J149" s="175"/>
      <c r="K149" s="140"/>
      <c r="L149" s="175"/>
      <c r="M149" s="140"/>
      <c r="N149" s="175"/>
      <c r="O149" s="140"/>
      <c r="P149" s="128"/>
      <c r="Q149" s="130"/>
      <c r="R149" s="130"/>
      <c r="S149" s="173"/>
      <c r="T149" s="173"/>
      <c r="U149" s="184"/>
      <c r="AA149" s="49">
        <f t="shared" si="7"/>
        <v>0</v>
      </c>
      <c r="AB149" s="49">
        <f t="shared" si="8"/>
        <v>0</v>
      </c>
      <c r="AC149" s="131" t="e">
        <f t="shared" si="6"/>
        <v>#N/A</v>
      </c>
    </row>
    <row r="150" spans="2:29" x14ac:dyDescent="0.25">
      <c r="B150" s="127"/>
      <c r="C150" s="183"/>
      <c r="D150" s="128"/>
      <c r="E150" s="128"/>
      <c r="F150" s="128"/>
      <c r="G150" s="175"/>
      <c r="H150" s="175"/>
      <c r="I150" s="140"/>
      <c r="J150" s="175"/>
      <c r="K150" s="140"/>
      <c r="L150" s="175"/>
      <c r="M150" s="140"/>
      <c r="N150" s="175"/>
      <c r="O150" s="140"/>
      <c r="P150" s="128"/>
      <c r="Q150" s="130"/>
      <c r="R150" s="130"/>
      <c r="S150" s="173"/>
      <c r="T150" s="173"/>
      <c r="U150" s="184"/>
      <c r="AA150" s="49">
        <f t="shared" si="7"/>
        <v>0</v>
      </c>
      <c r="AB150" s="49">
        <f t="shared" si="8"/>
        <v>0</v>
      </c>
      <c r="AC150" s="131" t="e">
        <f t="shared" si="6"/>
        <v>#N/A</v>
      </c>
    </row>
    <row r="151" spans="2:29" x14ac:dyDescent="0.25">
      <c r="B151" s="127"/>
      <c r="C151" s="183"/>
      <c r="D151" s="128"/>
      <c r="E151" s="128"/>
      <c r="F151" s="128"/>
      <c r="G151" s="175"/>
      <c r="H151" s="175"/>
      <c r="I151" s="140"/>
      <c r="J151" s="175"/>
      <c r="K151" s="140"/>
      <c r="L151" s="175"/>
      <c r="M151" s="140"/>
      <c r="N151" s="175"/>
      <c r="O151" s="140"/>
      <c r="P151" s="128"/>
      <c r="Q151" s="130"/>
      <c r="R151" s="130"/>
      <c r="S151" s="173"/>
      <c r="T151" s="173"/>
      <c r="U151" s="184"/>
      <c r="AA151" s="49">
        <f t="shared" si="7"/>
        <v>0</v>
      </c>
      <c r="AB151" s="49">
        <f t="shared" si="8"/>
        <v>0</v>
      </c>
      <c r="AC151" s="131" t="e">
        <f t="shared" si="6"/>
        <v>#N/A</v>
      </c>
    </row>
    <row r="152" spans="2:29" x14ac:dyDescent="0.25">
      <c r="B152" s="127"/>
      <c r="C152" s="183"/>
      <c r="D152" s="128"/>
      <c r="E152" s="128"/>
      <c r="F152" s="128"/>
      <c r="G152" s="175"/>
      <c r="H152" s="175"/>
      <c r="I152" s="140"/>
      <c r="J152" s="175"/>
      <c r="K152" s="140"/>
      <c r="L152" s="175"/>
      <c r="M152" s="140"/>
      <c r="N152" s="175"/>
      <c r="O152" s="140"/>
      <c r="P152" s="128"/>
      <c r="Q152" s="130"/>
      <c r="R152" s="130"/>
      <c r="S152" s="173"/>
      <c r="T152" s="173"/>
      <c r="U152" s="184"/>
      <c r="AA152" s="49">
        <f t="shared" si="7"/>
        <v>0</v>
      </c>
      <c r="AB152" s="49">
        <f t="shared" si="8"/>
        <v>0</v>
      </c>
      <c r="AC152" s="131" t="e">
        <f t="shared" si="6"/>
        <v>#N/A</v>
      </c>
    </row>
    <row r="153" spans="2:29" x14ac:dyDescent="0.25">
      <c r="B153" s="127"/>
      <c r="C153" s="183"/>
      <c r="D153" s="128"/>
      <c r="E153" s="128"/>
      <c r="F153" s="128"/>
      <c r="G153" s="175"/>
      <c r="H153" s="175"/>
      <c r="I153" s="140"/>
      <c r="J153" s="175"/>
      <c r="K153" s="140"/>
      <c r="L153" s="175"/>
      <c r="M153" s="140"/>
      <c r="N153" s="175"/>
      <c r="O153" s="140"/>
      <c r="P153" s="128"/>
      <c r="Q153" s="130"/>
      <c r="R153" s="130"/>
      <c r="S153" s="173"/>
      <c r="T153" s="173"/>
      <c r="U153" s="184"/>
      <c r="AA153" s="49">
        <f t="shared" si="7"/>
        <v>0</v>
      </c>
      <c r="AB153" s="49">
        <f t="shared" si="8"/>
        <v>0</v>
      </c>
      <c r="AC153" s="131" t="e">
        <f t="shared" si="6"/>
        <v>#N/A</v>
      </c>
    </row>
    <row r="154" spans="2:29" x14ac:dyDescent="0.25">
      <c r="B154" s="127"/>
      <c r="C154" s="183"/>
      <c r="D154" s="128"/>
      <c r="E154" s="128"/>
      <c r="F154" s="128"/>
      <c r="G154" s="175"/>
      <c r="H154" s="175"/>
      <c r="I154" s="140"/>
      <c r="J154" s="175"/>
      <c r="K154" s="140"/>
      <c r="L154" s="175"/>
      <c r="M154" s="140"/>
      <c r="N154" s="175"/>
      <c r="O154" s="140"/>
      <c r="P154" s="128"/>
      <c r="Q154" s="130"/>
      <c r="R154" s="130"/>
      <c r="S154" s="173"/>
      <c r="T154" s="173"/>
      <c r="U154" s="184"/>
      <c r="AA154" s="49">
        <f t="shared" si="7"/>
        <v>0</v>
      </c>
      <c r="AB154" s="49">
        <f t="shared" si="8"/>
        <v>0</v>
      </c>
      <c r="AC154" s="131" t="e">
        <f t="shared" si="6"/>
        <v>#N/A</v>
      </c>
    </row>
    <row r="155" spans="2:29" x14ac:dyDescent="0.25">
      <c r="B155" s="127"/>
      <c r="C155" s="183"/>
      <c r="D155" s="128"/>
      <c r="E155" s="128"/>
      <c r="F155" s="128"/>
      <c r="G155" s="175"/>
      <c r="H155" s="175"/>
      <c r="I155" s="140"/>
      <c r="J155" s="175"/>
      <c r="K155" s="140"/>
      <c r="L155" s="175"/>
      <c r="M155" s="140"/>
      <c r="N155" s="175"/>
      <c r="O155" s="140"/>
      <c r="P155" s="128"/>
      <c r="Q155" s="130"/>
      <c r="R155" s="130"/>
      <c r="S155" s="173"/>
      <c r="T155" s="173"/>
      <c r="U155" s="184"/>
      <c r="AA155" s="49">
        <f t="shared" si="7"/>
        <v>0</v>
      </c>
      <c r="AB155" s="49">
        <f t="shared" si="8"/>
        <v>0</v>
      </c>
      <c r="AC155" s="131" t="e">
        <f t="shared" si="6"/>
        <v>#N/A</v>
      </c>
    </row>
    <row r="156" spans="2:29" x14ac:dyDescent="0.25">
      <c r="B156" s="127"/>
      <c r="C156" s="183"/>
      <c r="D156" s="128"/>
      <c r="E156" s="128"/>
      <c r="F156" s="128"/>
      <c r="G156" s="175"/>
      <c r="H156" s="175"/>
      <c r="I156" s="140"/>
      <c r="J156" s="175"/>
      <c r="K156" s="140"/>
      <c r="L156" s="175"/>
      <c r="M156" s="140"/>
      <c r="N156" s="175"/>
      <c r="O156" s="140"/>
      <c r="P156" s="128"/>
      <c r="Q156" s="130"/>
      <c r="R156" s="130"/>
      <c r="S156" s="173"/>
      <c r="T156" s="173"/>
      <c r="U156" s="184"/>
      <c r="AA156" s="49">
        <f t="shared" si="7"/>
        <v>0</v>
      </c>
      <c r="AB156" s="49">
        <f t="shared" si="8"/>
        <v>0</v>
      </c>
      <c r="AC156" s="131" t="e">
        <f t="shared" si="6"/>
        <v>#N/A</v>
      </c>
    </row>
    <row r="157" spans="2:29" x14ac:dyDescent="0.25">
      <c r="B157" s="127"/>
      <c r="C157" s="183"/>
      <c r="D157" s="128"/>
      <c r="E157" s="128"/>
      <c r="F157" s="128"/>
      <c r="G157" s="175"/>
      <c r="H157" s="175"/>
      <c r="I157" s="140"/>
      <c r="J157" s="175"/>
      <c r="K157" s="140"/>
      <c r="L157" s="175"/>
      <c r="M157" s="140"/>
      <c r="N157" s="175"/>
      <c r="O157" s="140"/>
      <c r="P157" s="128"/>
      <c r="Q157" s="130"/>
      <c r="R157" s="130"/>
      <c r="S157" s="173"/>
      <c r="T157" s="173"/>
      <c r="U157" s="184"/>
      <c r="AA157" s="49">
        <f t="shared" si="7"/>
        <v>0</v>
      </c>
      <c r="AB157" s="49">
        <f t="shared" si="8"/>
        <v>0</v>
      </c>
      <c r="AC157" s="131" t="e">
        <f t="shared" si="6"/>
        <v>#N/A</v>
      </c>
    </row>
    <row r="158" spans="2:29" x14ac:dyDescent="0.25">
      <c r="B158" s="127"/>
      <c r="C158" s="183"/>
      <c r="D158" s="128"/>
      <c r="E158" s="128"/>
      <c r="F158" s="128"/>
      <c r="G158" s="175"/>
      <c r="H158" s="175"/>
      <c r="I158" s="140"/>
      <c r="J158" s="175"/>
      <c r="K158" s="140"/>
      <c r="L158" s="175"/>
      <c r="M158" s="140"/>
      <c r="N158" s="175"/>
      <c r="O158" s="140"/>
      <c r="P158" s="128"/>
      <c r="Q158" s="130"/>
      <c r="R158" s="130"/>
      <c r="S158" s="173"/>
      <c r="T158" s="173"/>
      <c r="U158" s="184"/>
      <c r="AA158" s="49">
        <f t="shared" si="7"/>
        <v>0</v>
      </c>
      <c r="AB158" s="49">
        <f t="shared" si="8"/>
        <v>0</v>
      </c>
      <c r="AC158" s="131" t="e">
        <f t="shared" si="6"/>
        <v>#N/A</v>
      </c>
    </row>
    <row r="159" spans="2:29" x14ac:dyDescent="0.25">
      <c r="B159" s="127"/>
      <c r="C159" s="183"/>
      <c r="D159" s="128"/>
      <c r="E159" s="128"/>
      <c r="F159" s="128"/>
      <c r="G159" s="175"/>
      <c r="H159" s="175"/>
      <c r="I159" s="140"/>
      <c r="J159" s="175"/>
      <c r="K159" s="140"/>
      <c r="L159" s="175"/>
      <c r="M159" s="140"/>
      <c r="N159" s="175"/>
      <c r="O159" s="140"/>
      <c r="P159" s="128"/>
      <c r="Q159" s="130"/>
      <c r="R159" s="130"/>
      <c r="S159" s="173"/>
      <c r="T159" s="173"/>
      <c r="U159" s="184"/>
      <c r="AA159" s="49">
        <f t="shared" si="7"/>
        <v>0</v>
      </c>
      <c r="AB159" s="49">
        <f t="shared" si="8"/>
        <v>0</v>
      </c>
      <c r="AC159" s="131" t="e">
        <f t="shared" si="6"/>
        <v>#N/A</v>
      </c>
    </row>
    <row r="160" spans="2:29" x14ac:dyDescent="0.25">
      <c r="B160" s="127"/>
      <c r="C160" s="183"/>
      <c r="D160" s="128"/>
      <c r="E160" s="128"/>
      <c r="F160" s="128"/>
      <c r="G160" s="175"/>
      <c r="H160" s="175"/>
      <c r="I160" s="140"/>
      <c r="J160" s="175"/>
      <c r="K160" s="140"/>
      <c r="L160" s="175"/>
      <c r="M160" s="140"/>
      <c r="N160" s="175"/>
      <c r="O160" s="140"/>
      <c r="P160" s="128"/>
      <c r="Q160" s="130"/>
      <c r="R160" s="130"/>
      <c r="S160" s="173"/>
      <c r="T160" s="173"/>
      <c r="U160" s="184"/>
      <c r="AA160" s="49">
        <f t="shared" si="7"/>
        <v>0</v>
      </c>
      <c r="AB160" s="49">
        <f t="shared" si="8"/>
        <v>0</v>
      </c>
      <c r="AC160" s="131" t="e">
        <f t="shared" si="6"/>
        <v>#N/A</v>
      </c>
    </row>
    <row r="161" spans="2:29" x14ac:dyDescent="0.25">
      <c r="B161" s="127"/>
      <c r="C161" s="183"/>
      <c r="D161" s="128"/>
      <c r="E161" s="128"/>
      <c r="F161" s="128"/>
      <c r="G161" s="175"/>
      <c r="H161" s="175"/>
      <c r="I161" s="140"/>
      <c r="J161" s="175"/>
      <c r="K161" s="140"/>
      <c r="L161" s="175"/>
      <c r="M161" s="140"/>
      <c r="N161" s="175"/>
      <c r="O161" s="140"/>
      <c r="P161" s="128"/>
      <c r="Q161" s="130"/>
      <c r="R161" s="130"/>
      <c r="S161" s="173"/>
      <c r="T161" s="173"/>
      <c r="U161" s="184"/>
      <c r="AA161" s="49">
        <f t="shared" si="7"/>
        <v>0</v>
      </c>
      <c r="AB161" s="49">
        <f t="shared" si="8"/>
        <v>0</v>
      </c>
      <c r="AC161" s="131" t="e">
        <f t="shared" si="6"/>
        <v>#N/A</v>
      </c>
    </row>
    <row r="162" spans="2:29" x14ac:dyDescent="0.25">
      <c r="B162" s="127"/>
      <c r="C162" s="183"/>
      <c r="D162" s="128"/>
      <c r="E162" s="128"/>
      <c r="F162" s="128"/>
      <c r="G162" s="175"/>
      <c r="H162" s="175"/>
      <c r="I162" s="140"/>
      <c r="J162" s="175"/>
      <c r="K162" s="140"/>
      <c r="L162" s="175"/>
      <c r="M162" s="140"/>
      <c r="N162" s="175"/>
      <c r="O162" s="140"/>
      <c r="P162" s="128"/>
      <c r="Q162" s="130"/>
      <c r="R162" s="130"/>
      <c r="S162" s="173"/>
      <c r="T162" s="173"/>
      <c r="U162" s="184"/>
      <c r="AA162" s="49">
        <f t="shared" si="7"/>
        <v>0</v>
      </c>
      <c r="AB162" s="49">
        <f t="shared" si="8"/>
        <v>0</v>
      </c>
      <c r="AC162" s="131" t="e">
        <f t="shared" si="6"/>
        <v>#N/A</v>
      </c>
    </row>
    <row r="163" spans="2:29" x14ac:dyDescent="0.25">
      <c r="B163" s="127"/>
      <c r="C163" s="183"/>
      <c r="D163" s="128"/>
      <c r="E163" s="128"/>
      <c r="F163" s="128"/>
      <c r="G163" s="175"/>
      <c r="H163" s="175"/>
      <c r="I163" s="140"/>
      <c r="J163" s="175"/>
      <c r="K163" s="140"/>
      <c r="L163" s="175"/>
      <c r="M163" s="140"/>
      <c r="N163" s="175"/>
      <c r="O163" s="140"/>
      <c r="P163" s="128"/>
      <c r="Q163" s="130"/>
      <c r="R163" s="130"/>
      <c r="S163" s="173"/>
      <c r="T163" s="173"/>
      <c r="U163" s="184"/>
      <c r="AA163" s="49">
        <f t="shared" si="7"/>
        <v>0</v>
      </c>
      <c r="AB163" s="49">
        <f t="shared" si="8"/>
        <v>0</v>
      </c>
      <c r="AC163" s="131" t="e">
        <f t="shared" si="6"/>
        <v>#N/A</v>
      </c>
    </row>
    <row r="164" spans="2:29" x14ac:dyDescent="0.25">
      <c r="B164" s="127"/>
      <c r="C164" s="183"/>
      <c r="D164" s="128"/>
      <c r="E164" s="128"/>
      <c r="F164" s="128"/>
      <c r="G164" s="175"/>
      <c r="H164" s="175"/>
      <c r="I164" s="140"/>
      <c r="J164" s="175"/>
      <c r="K164" s="140"/>
      <c r="L164" s="175"/>
      <c r="M164" s="140"/>
      <c r="N164" s="175"/>
      <c r="O164" s="140"/>
      <c r="P164" s="128"/>
      <c r="Q164" s="130"/>
      <c r="R164" s="130"/>
      <c r="S164" s="173"/>
      <c r="T164" s="173"/>
      <c r="U164" s="184"/>
      <c r="AA164" s="49">
        <f t="shared" si="7"/>
        <v>0</v>
      </c>
      <c r="AB164" s="49">
        <f t="shared" si="8"/>
        <v>0</v>
      </c>
      <c r="AC164" s="131" t="e">
        <f t="shared" si="6"/>
        <v>#N/A</v>
      </c>
    </row>
    <row r="165" spans="2:29" x14ac:dyDescent="0.25">
      <c r="B165" s="127"/>
      <c r="C165" s="183"/>
      <c r="D165" s="128"/>
      <c r="E165" s="128"/>
      <c r="F165" s="128"/>
      <c r="G165" s="175"/>
      <c r="H165" s="175"/>
      <c r="I165" s="140"/>
      <c r="J165" s="175"/>
      <c r="K165" s="140"/>
      <c r="L165" s="175"/>
      <c r="M165" s="140"/>
      <c r="N165" s="175"/>
      <c r="O165" s="140"/>
      <c r="P165" s="128"/>
      <c r="Q165" s="130"/>
      <c r="R165" s="130"/>
      <c r="S165" s="173"/>
      <c r="T165" s="173"/>
      <c r="U165" s="184"/>
      <c r="AA165" s="49">
        <f t="shared" si="7"/>
        <v>0</v>
      </c>
      <c r="AB165" s="49">
        <f t="shared" si="8"/>
        <v>0</v>
      </c>
      <c r="AC165" s="131" t="e">
        <f t="shared" si="6"/>
        <v>#N/A</v>
      </c>
    </row>
    <row r="166" spans="2:29" x14ac:dyDescent="0.25">
      <c r="B166" s="127"/>
      <c r="C166" s="183"/>
      <c r="D166" s="128"/>
      <c r="E166" s="128"/>
      <c r="F166" s="128"/>
      <c r="G166" s="175"/>
      <c r="H166" s="175"/>
      <c r="I166" s="140"/>
      <c r="J166" s="175"/>
      <c r="K166" s="140"/>
      <c r="L166" s="175"/>
      <c r="M166" s="140"/>
      <c r="N166" s="175"/>
      <c r="O166" s="140"/>
      <c r="P166" s="128"/>
      <c r="Q166" s="130"/>
      <c r="R166" s="130"/>
      <c r="S166" s="173"/>
      <c r="T166" s="173"/>
      <c r="U166" s="184"/>
      <c r="AA166" s="49">
        <f t="shared" si="7"/>
        <v>0</v>
      </c>
      <c r="AB166" s="49">
        <f t="shared" si="8"/>
        <v>0</v>
      </c>
      <c r="AC166" s="131" t="e">
        <f t="shared" si="6"/>
        <v>#N/A</v>
      </c>
    </row>
    <row r="167" spans="2:29" x14ac:dyDescent="0.25">
      <c r="B167" s="127"/>
      <c r="C167" s="183"/>
      <c r="D167" s="128"/>
      <c r="E167" s="128"/>
      <c r="F167" s="128"/>
      <c r="G167" s="175"/>
      <c r="H167" s="175"/>
      <c r="I167" s="140"/>
      <c r="J167" s="175"/>
      <c r="K167" s="140"/>
      <c r="L167" s="175"/>
      <c r="M167" s="140"/>
      <c r="N167" s="175"/>
      <c r="O167" s="140"/>
      <c r="P167" s="128"/>
      <c r="Q167" s="130"/>
      <c r="R167" s="130"/>
      <c r="S167" s="173"/>
      <c r="T167" s="173"/>
      <c r="U167" s="184"/>
      <c r="AA167" s="49">
        <f t="shared" si="7"/>
        <v>0</v>
      </c>
      <c r="AB167" s="49">
        <f t="shared" si="8"/>
        <v>0</v>
      </c>
      <c r="AC167" s="131" t="e">
        <f t="shared" si="6"/>
        <v>#N/A</v>
      </c>
    </row>
    <row r="168" spans="2:29" x14ac:dyDescent="0.25">
      <c r="B168" s="127"/>
      <c r="C168" s="183"/>
      <c r="D168" s="128"/>
      <c r="E168" s="128"/>
      <c r="F168" s="128"/>
      <c r="G168" s="175"/>
      <c r="H168" s="175"/>
      <c r="I168" s="140"/>
      <c r="J168" s="175"/>
      <c r="K168" s="140"/>
      <c r="L168" s="175"/>
      <c r="M168" s="140"/>
      <c r="N168" s="175"/>
      <c r="O168" s="140"/>
      <c r="P168" s="128"/>
      <c r="Q168" s="130"/>
      <c r="R168" s="130"/>
      <c r="S168" s="173"/>
      <c r="T168" s="173"/>
      <c r="U168" s="184"/>
      <c r="AA168" s="49">
        <f t="shared" si="7"/>
        <v>0</v>
      </c>
      <c r="AB168" s="49">
        <f t="shared" si="8"/>
        <v>0</v>
      </c>
      <c r="AC168" s="131" t="e">
        <f t="shared" si="6"/>
        <v>#N/A</v>
      </c>
    </row>
    <row r="169" spans="2:29" x14ac:dyDescent="0.25">
      <c r="B169" s="127"/>
      <c r="C169" s="183"/>
      <c r="D169" s="128"/>
      <c r="E169" s="128"/>
      <c r="F169" s="128"/>
      <c r="G169" s="175"/>
      <c r="H169" s="175"/>
      <c r="I169" s="140"/>
      <c r="J169" s="175"/>
      <c r="K169" s="140"/>
      <c r="L169" s="175"/>
      <c r="M169" s="140"/>
      <c r="N169" s="175"/>
      <c r="O169" s="140"/>
      <c r="P169" s="128"/>
      <c r="Q169" s="130"/>
      <c r="R169" s="130"/>
      <c r="S169" s="173"/>
      <c r="T169" s="173"/>
      <c r="U169" s="184"/>
      <c r="AA169" s="49">
        <f t="shared" si="7"/>
        <v>0</v>
      </c>
      <c r="AB169" s="49">
        <f t="shared" si="8"/>
        <v>0</v>
      </c>
      <c r="AC169" s="131" t="e">
        <f t="shared" si="6"/>
        <v>#N/A</v>
      </c>
    </row>
    <row r="170" spans="2:29" x14ac:dyDescent="0.25">
      <c r="B170" s="127"/>
      <c r="C170" s="183"/>
      <c r="D170" s="128"/>
      <c r="E170" s="128"/>
      <c r="F170" s="128"/>
      <c r="G170" s="175"/>
      <c r="H170" s="175"/>
      <c r="I170" s="140"/>
      <c r="J170" s="175"/>
      <c r="K170" s="140"/>
      <c r="L170" s="175"/>
      <c r="M170" s="140"/>
      <c r="N170" s="175"/>
      <c r="O170" s="140"/>
      <c r="P170" s="128"/>
      <c r="Q170" s="130"/>
      <c r="R170" s="130"/>
      <c r="S170" s="173"/>
      <c r="T170" s="173"/>
      <c r="U170" s="184"/>
      <c r="AA170" s="49">
        <f t="shared" si="7"/>
        <v>0</v>
      </c>
      <c r="AB170" s="49">
        <f t="shared" si="8"/>
        <v>0</v>
      </c>
      <c r="AC170" s="131" t="e">
        <f t="shared" si="6"/>
        <v>#N/A</v>
      </c>
    </row>
    <row r="171" spans="2:29" x14ac:dyDescent="0.25">
      <c r="B171" s="127"/>
      <c r="C171" s="183"/>
      <c r="D171" s="128"/>
      <c r="E171" s="128"/>
      <c r="F171" s="128"/>
      <c r="G171" s="175"/>
      <c r="H171" s="175"/>
      <c r="I171" s="140"/>
      <c r="J171" s="175"/>
      <c r="K171" s="140"/>
      <c r="L171" s="175"/>
      <c r="M171" s="140"/>
      <c r="N171" s="175"/>
      <c r="O171" s="140"/>
      <c r="P171" s="128"/>
      <c r="Q171" s="130"/>
      <c r="R171" s="130"/>
      <c r="S171" s="173"/>
      <c r="T171" s="173"/>
      <c r="U171" s="184"/>
      <c r="AA171" s="49">
        <f t="shared" si="7"/>
        <v>0</v>
      </c>
      <c r="AB171" s="49">
        <f t="shared" si="8"/>
        <v>0</v>
      </c>
      <c r="AC171" s="131" t="e">
        <f t="shared" si="6"/>
        <v>#N/A</v>
      </c>
    </row>
    <row r="172" spans="2:29" x14ac:dyDescent="0.25">
      <c r="B172" s="127"/>
      <c r="C172" s="183"/>
      <c r="D172" s="128"/>
      <c r="E172" s="128"/>
      <c r="F172" s="128"/>
      <c r="G172" s="175"/>
      <c r="H172" s="175"/>
      <c r="I172" s="140"/>
      <c r="J172" s="175"/>
      <c r="K172" s="140"/>
      <c r="L172" s="175"/>
      <c r="M172" s="140"/>
      <c r="N172" s="175"/>
      <c r="O172" s="140"/>
      <c r="P172" s="128"/>
      <c r="Q172" s="130"/>
      <c r="R172" s="130"/>
      <c r="S172" s="173"/>
      <c r="T172" s="173"/>
      <c r="U172" s="184"/>
      <c r="AA172" s="49">
        <f t="shared" si="7"/>
        <v>0</v>
      </c>
      <c r="AB172" s="49">
        <f t="shared" si="8"/>
        <v>0</v>
      </c>
      <c r="AC172" s="131" t="e">
        <f t="shared" si="6"/>
        <v>#N/A</v>
      </c>
    </row>
    <row r="173" spans="2:29" x14ac:dyDescent="0.25">
      <c r="B173" s="127"/>
      <c r="C173" s="183"/>
      <c r="D173" s="128"/>
      <c r="E173" s="128"/>
      <c r="F173" s="128"/>
      <c r="G173" s="175"/>
      <c r="H173" s="175"/>
      <c r="I173" s="140"/>
      <c r="J173" s="175"/>
      <c r="K173" s="140"/>
      <c r="L173" s="175"/>
      <c r="M173" s="140"/>
      <c r="N173" s="175"/>
      <c r="O173" s="140"/>
      <c r="P173" s="128"/>
      <c r="Q173" s="130"/>
      <c r="R173" s="130"/>
      <c r="S173" s="173"/>
      <c r="T173" s="173"/>
      <c r="U173" s="184"/>
      <c r="AA173" s="49">
        <f t="shared" si="7"/>
        <v>0</v>
      </c>
      <c r="AB173" s="49">
        <f t="shared" si="8"/>
        <v>0</v>
      </c>
      <c r="AC173" s="131" t="e">
        <f t="shared" si="6"/>
        <v>#N/A</v>
      </c>
    </row>
    <row r="174" spans="2:29" x14ac:dyDescent="0.25">
      <c r="B174" s="127"/>
      <c r="C174" s="183"/>
      <c r="D174" s="128"/>
      <c r="E174" s="128"/>
      <c r="F174" s="128"/>
      <c r="G174" s="175"/>
      <c r="H174" s="175"/>
      <c r="I174" s="140"/>
      <c r="J174" s="175"/>
      <c r="K174" s="140"/>
      <c r="L174" s="175"/>
      <c r="M174" s="140"/>
      <c r="N174" s="175"/>
      <c r="O174" s="140"/>
      <c r="P174" s="128"/>
      <c r="Q174" s="130"/>
      <c r="R174" s="130"/>
      <c r="S174" s="173"/>
      <c r="T174" s="173"/>
      <c r="U174" s="184"/>
      <c r="AA174" s="49">
        <f t="shared" si="7"/>
        <v>0</v>
      </c>
      <c r="AB174" s="49">
        <f t="shared" si="8"/>
        <v>0</v>
      </c>
      <c r="AC174" s="131" t="e">
        <f t="shared" si="6"/>
        <v>#N/A</v>
      </c>
    </row>
    <row r="175" spans="2:29" x14ac:dyDescent="0.25">
      <c r="B175" s="127"/>
      <c r="C175" s="183"/>
      <c r="D175" s="128"/>
      <c r="E175" s="128"/>
      <c r="F175" s="128"/>
      <c r="G175" s="175"/>
      <c r="H175" s="175"/>
      <c r="I175" s="140"/>
      <c r="J175" s="175"/>
      <c r="K175" s="140"/>
      <c r="L175" s="175"/>
      <c r="M175" s="140"/>
      <c r="N175" s="175"/>
      <c r="O175" s="140"/>
      <c r="P175" s="128"/>
      <c r="Q175" s="130"/>
      <c r="R175" s="130"/>
      <c r="S175" s="173"/>
      <c r="T175" s="173"/>
      <c r="U175" s="184"/>
      <c r="AA175" s="49">
        <f t="shared" si="7"/>
        <v>0</v>
      </c>
      <c r="AB175" s="49">
        <f t="shared" si="8"/>
        <v>0</v>
      </c>
      <c r="AC175" s="131" t="e">
        <f t="shared" si="6"/>
        <v>#N/A</v>
      </c>
    </row>
    <row r="176" spans="2:29" x14ac:dyDescent="0.25">
      <c r="B176" s="127"/>
      <c r="C176" s="183"/>
      <c r="D176" s="128"/>
      <c r="E176" s="128"/>
      <c r="F176" s="128"/>
      <c r="G176" s="175"/>
      <c r="H176" s="175"/>
      <c r="I176" s="140"/>
      <c r="J176" s="175"/>
      <c r="K176" s="140"/>
      <c r="L176" s="175"/>
      <c r="M176" s="140"/>
      <c r="N176" s="175"/>
      <c r="O176" s="140"/>
      <c r="P176" s="128"/>
      <c r="Q176" s="130"/>
      <c r="R176" s="130"/>
      <c r="S176" s="173"/>
      <c r="T176" s="173"/>
      <c r="U176" s="184"/>
      <c r="AA176" s="49">
        <f t="shared" si="7"/>
        <v>0</v>
      </c>
      <c r="AB176" s="49">
        <f t="shared" si="8"/>
        <v>0</v>
      </c>
      <c r="AC176" s="131" t="e">
        <f t="shared" si="6"/>
        <v>#N/A</v>
      </c>
    </row>
    <row r="177" spans="2:29" x14ac:dyDescent="0.25">
      <c r="B177" s="127"/>
      <c r="C177" s="183"/>
      <c r="D177" s="128"/>
      <c r="E177" s="128"/>
      <c r="F177" s="128"/>
      <c r="G177" s="175"/>
      <c r="H177" s="175"/>
      <c r="I177" s="140"/>
      <c r="J177" s="175"/>
      <c r="K177" s="140"/>
      <c r="L177" s="175"/>
      <c r="M177" s="140"/>
      <c r="N177" s="175"/>
      <c r="O177" s="140"/>
      <c r="P177" s="128"/>
      <c r="Q177" s="130"/>
      <c r="R177" s="130"/>
      <c r="S177" s="173"/>
      <c r="T177" s="173"/>
      <c r="U177" s="184"/>
      <c r="AA177" s="49">
        <f t="shared" si="7"/>
        <v>0</v>
      </c>
      <c r="AB177" s="49">
        <f t="shared" si="8"/>
        <v>0</v>
      </c>
      <c r="AC177" s="131" t="e">
        <f t="shared" si="6"/>
        <v>#N/A</v>
      </c>
    </row>
    <row r="178" spans="2:29" x14ac:dyDescent="0.25">
      <c r="B178" s="127"/>
      <c r="C178" s="183"/>
      <c r="D178" s="128"/>
      <c r="E178" s="128"/>
      <c r="F178" s="128"/>
      <c r="G178" s="175"/>
      <c r="H178" s="175"/>
      <c r="I178" s="140"/>
      <c r="J178" s="175"/>
      <c r="K178" s="140"/>
      <c r="L178" s="175"/>
      <c r="M178" s="140"/>
      <c r="N178" s="175"/>
      <c r="O178" s="140"/>
      <c r="P178" s="128"/>
      <c r="Q178" s="130"/>
      <c r="R178" s="130"/>
      <c r="S178" s="173"/>
      <c r="T178" s="173"/>
      <c r="U178" s="184"/>
      <c r="AA178" s="49">
        <f t="shared" si="7"/>
        <v>0</v>
      </c>
      <c r="AB178" s="49">
        <f t="shared" si="8"/>
        <v>0</v>
      </c>
      <c r="AC178" s="131" t="e">
        <f t="shared" si="6"/>
        <v>#N/A</v>
      </c>
    </row>
    <row r="179" spans="2:29" x14ac:dyDescent="0.25">
      <c r="B179" s="127"/>
      <c r="C179" s="183"/>
      <c r="D179" s="128"/>
      <c r="E179" s="128"/>
      <c r="F179" s="128"/>
      <c r="G179" s="175"/>
      <c r="H179" s="175"/>
      <c r="I179" s="140"/>
      <c r="J179" s="175"/>
      <c r="K179" s="140"/>
      <c r="L179" s="175"/>
      <c r="M179" s="140"/>
      <c r="N179" s="175"/>
      <c r="O179" s="140"/>
      <c r="P179" s="128"/>
      <c r="Q179" s="130"/>
      <c r="R179" s="130"/>
      <c r="S179" s="173"/>
      <c r="T179" s="173"/>
      <c r="U179" s="184"/>
      <c r="AA179" s="49">
        <f t="shared" si="7"/>
        <v>0</v>
      </c>
      <c r="AB179" s="49">
        <f t="shared" si="8"/>
        <v>0</v>
      </c>
      <c r="AC179" s="131" t="e">
        <f t="shared" si="6"/>
        <v>#N/A</v>
      </c>
    </row>
    <row r="180" spans="2:29" x14ac:dyDescent="0.25">
      <c r="B180" s="127"/>
      <c r="C180" s="183"/>
      <c r="D180" s="128"/>
      <c r="E180" s="128"/>
      <c r="F180" s="128"/>
      <c r="G180" s="175"/>
      <c r="H180" s="175"/>
      <c r="I180" s="140"/>
      <c r="J180" s="175"/>
      <c r="K180" s="140"/>
      <c r="L180" s="175"/>
      <c r="M180" s="140"/>
      <c r="N180" s="175"/>
      <c r="O180" s="140"/>
      <c r="P180" s="128"/>
      <c r="Q180" s="130"/>
      <c r="R180" s="130"/>
      <c r="S180" s="173"/>
      <c r="T180" s="173"/>
      <c r="U180" s="184"/>
      <c r="AA180" s="49">
        <f t="shared" si="7"/>
        <v>0</v>
      </c>
      <c r="AB180" s="49">
        <f t="shared" si="8"/>
        <v>0</v>
      </c>
      <c r="AC180" s="131" t="e">
        <f t="shared" si="6"/>
        <v>#N/A</v>
      </c>
    </row>
    <row r="181" spans="2:29" x14ac:dyDescent="0.25">
      <c r="B181" s="127"/>
      <c r="C181" s="183"/>
      <c r="D181" s="128"/>
      <c r="E181" s="128"/>
      <c r="F181" s="128"/>
      <c r="G181" s="175"/>
      <c r="H181" s="175"/>
      <c r="I181" s="140"/>
      <c r="J181" s="175"/>
      <c r="K181" s="140"/>
      <c r="L181" s="175"/>
      <c r="M181" s="140"/>
      <c r="N181" s="175"/>
      <c r="O181" s="140"/>
      <c r="P181" s="128"/>
      <c r="Q181" s="130"/>
      <c r="R181" s="130"/>
      <c r="S181" s="173"/>
      <c r="T181" s="173"/>
      <c r="U181" s="184"/>
      <c r="AA181" s="49">
        <f t="shared" si="7"/>
        <v>0</v>
      </c>
      <c r="AB181" s="49">
        <f t="shared" si="8"/>
        <v>0</v>
      </c>
      <c r="AC181" s="131" t="e">
        <f t="shared" si="6"/>
        <v>#N/A</v>
      </c>
    </row>
    <row r="182" spans="2:29" x14ac:dyDescent="0.25">
      <c r="B182" s="127"/>
      <c r="C182" s="183"/>
      <c r="D182" s="128"/>
      <c r="E182" s="128"/>
      <c r="F182" s="128"/>
      <c r="G182" s="175"/>
      <c r="H182" s="175"/>
      <c r="I182" s="140"/>
      <c r="J182" s="175"/>
      <c r="K182" s="140"/>
      <c r="L182" s="175"/>
      <c r="M182" s="140"/>
      <c r="N182" s="175"/>
      <c r="O182" s="140"/>
      <c r="P182" s="128"/>
      <c r="Q182" s="130"/>
      <c r="R182" s="130"/>
      <c r="S182" s="173"/>
      <c r="T182" s="173"/>
      <c r="U182" s="184"/>
      <c r="AA182" s="49">
        <f t="shared" si="7"/>
        <v>0</v>
      </c>
      <c r="AB182" s="49">
        <f t="shared" si="8"/>
        <v>0</v>
      </c>
      <c r="AC182" s="131" t="e">
        <f t="shared" si="6"/>
        <v>#N/A</v>
      </c>
    </row>
    <row r="183" spans="2:29" x14ac:dyDescent="0.25">
      <c r="B183" s="127"/>
      <c r="C183" s="183"/>
      <c r="D183" s="128"/>
      <c r="E183" s="128"/>
      <c r="F183" s="128"/>
      <c r="G183" s="175"/>
      <c r="H183" s="175"/>
      <c r="I183" s="140"/>
      <c r="J183" s="175"/>
      <c r="K183" s="140"/>
      <c r="L183" s="175"/>
      <c r="M183" s="140"/>
      <c r="N183" s="175"/>
      <c r="O183" s="140"/>
      <c r="P183" s="128"/>
      <c r="Q183" s="130"/>
      <c r="R183" s="130"/>
      <c r="S183" s="173"/>
      <c r="T183" s="173"/>
      <c r="U183" s="184"/>
      <c r="AA183" s="49">
        <f t="shared" si="7"/>
        <v>0</v>
      </c>
      <c r="AB183" s="49">
        <f t="shared" si="8"/>
        <v>0</v>
      </c>
      <c r="AC183" s="131" t="e">
        <f t="shared" si="6"/>
        <v>#N/A</v>
      </c>
    </row>
    <row r="184" spans="2:29" x14ac:dyDescent="0.25">
      <c r="B184" s="127"/>
      <c r="C184" s="183"/>
      <c r="D184" s="128"/>
      <c r="E184" s="128"/>
      <c r="F184" s="128"/>
      <c r="G184" s="175"/>
      <c r="H184" s="175"/>
      <c r="I184" s="140"/>
      <c r="J184" s="175"/>
      <c r="K184" s="140"/>
      <c r="L184" s="175"/>
      <c r="M184" s="140"/>
      <c r="N184" s="175"/>
      <c r="O184" s="140"/>
      <c r="P184" s="128"/>
      <c r="Q184" s="130"/>
      <c r="R184" s="130"/>
      <c r="S184" s="173"/>
      <c r="T184" s="173"/>
      <c r="U184" s="184"/>
      <c r="AA184" s="49">
        <f t="shared" si="7"/>
        <v>0</v>
      </c>
      <c r="AB184" s="49">
        <f t="shared" si="8"/>
        <v>0</v>
      </c>
      <c r="AC184" s="131" t="e">
        <f t="shared" si="6"/>
        <v>#N/A</v>
      </c>
    </row>
    <row r="185" spans="2:29" x14ac:dyDescent="0.25">
      <c r="B185" s="127"/>
      <c r="C185" s="183"/>
      <c r="D185" s="128"/>
      <c r="E185" s="128"/>
      <c r="F185" s="128"/>
      <c r="G185" s="175"/>
      <c r="H185" s="175"/>
      <c r="I185" s="140"/>
      <c r="J185" s="175"/>
      <c r="K185" s="140"/>
      <c r="L185" s="175"/>
      <c r="M185" s="140"/>
      <c r="N185" s="175"/>
      <c r="O185" s="140"/>
      <c r="P185" s="128"/>
      <c r="Q185" s="130"/>
      <c r="R185" s="130"/>
      <c r="S185" s="173"/>
      <c r="T185" s="173"/>
      <c r="U185" s="184"/>
      <c r="AA185" s="49">
        <f t="shared" si="7"/>
        <v>0</v>
      </c>
      <c r="AB185" s="49">
        <f t="shared" si="8"/>
        <v>0</v>
      </c>
      <c r="AC185" s="131" t="e">
        <f t="shared" si="6"/>
        <v>#N/A</v>
      </c>
    </row>
    <row r="186" spans="2:29" x14ac:dyDescent="0.25">
      <c r="B186" s="127"/>
      <c r="C186" s="183"/>
      <c r="D186" s="128"/>
      <c r="E186" s="128"/>
      <c r="F186" s="128"/>
      <c r="G186" s="175"/>
      <c r="H186" s="175"/>
      <c r="I186" s="140"/>
      <c r="J186" s="175"/>
      <c r="K186" s="140"/>
      <c r="L186" s="175"/>
      <c r="M186" s="140"/>
      <c r="N186" s="175"/>
      <c r="O186" s="140"/>
      <c r="P186" s="128"/>
      <c r="Q186" s="130"/>
      <c r="R186" s="130"/>
      <c r="S186" s="173"/>
      <c r="T186" s="173"/>
      <c r="U186" s="184"/>
      <c r="AA186" s="49">
        <f t="shared" si="7"/>
        <v>0</v>
      </c>
      <c r="AB186" s="49">
        <f t="shared" si="8"/>
        <v>0</v>
      </c>
      <c r="AC186" s="131" t="e">
        <f t="shared" si="6"/>
        <v>#N/A</v>
      </c>
    </row>
    <row r="187" spans="2:29" x14ac:dyDescent="0.25">
      <c r="B187" s="127"/>
      <c r="C187" s="183"/>
      <c r="D187" s="128"/>
      <c r="E187" s="128"/>
      <c r="F187" s="128"/>
      <c r="G187" s="175"/>
      <c r="H187" s="175"/>
      <c r="I187" s="140"/>
      <c r="J187" s="175"/>
      <c r="K187" s="140"/>
      <c r="L187" s="175"/>
      <c r="M187" s="140"/>
      <c r="N187" s="175"/>
      <c r="O187" s="140"/>
      <c r="P187" s="128"/>
      <c r="Q187" s="130"/>
      <c r="R187" s="130"/>
      <c r="S187" s="173"/>
      <c r="T187" s="173"/>
      <c r="U187" s="184"/>
      <c r="AA187" s="49">
        <f t="shared" si="7"/>
        <v>0</v>
      </c>
      <c r="AB187" s="49">
        <f t="shared" si="8"/>
        <v>0</v>
      </c>
      <c r="AC187" s="131" t="e">
        <f t="shared" si="6"/>
        <v>#N/A</v>
      </c>
    </row>
    <row r="188" spans="2:29" x14ac:dyDescent="0.25">
      <c r="B188" s="127"/>
      <c r="C188" s="183"/>
      <c r="D188" s="128"/>
      <c r="E188" s="128"/>
      <c r="F188" s="128"/>
      <c r="G188" s="175"/>
      <c r="H188" s="175"/>
      <c r="I188" s="140"/>
      <c r="J188" s="175"/>
      <c r="K188" s="140"/>
      <c r="L188" s="175"/>
      <c r="M188" s="140"/>
      <c r="N188" s="175"/>
      <c r="O188" s="140"/>
      <c r="P188" s="128"/>
      <c r="Q188" s="130"/>
      <c r="R188" s="130"/>
      <c r="S188" s="173"/>
      <c r="T188" s="173"/>
      <c r="U188" s="184"/>
      <c r="AA188" s="49">
        <f t="shared" si="7"/>
        <v>0</v>
      </c>
      <c r="AB188" s="49">
        <f t="shared" si="8"/>
        <v>0</v>
      </c>
      <c r="AC188" s="131" t="e">
        <f t="shared" si="6"/>
        <v>#N/A</v>
      </c>
    </row>
    <row r="189" spans="2:29" x14ac:dyDescent="0.25">
      <c r="B189" s="127"/>
      <c r="C189" s="183"/>
      <c r="D189" s="128"/>
      <c r="E189" s="128"/>
      <c r="F189" s="128"/>
      <c r="G189" s="175"/>
      <c r="H189" s="175"/>
      <c r="I189" s="140"/>
      <c r="J189" s="175"/>
      <c r="K189" s="140"/>
      <c r="L189" s="175"/>
      <c r="M189" s="140"/>
      <c r="N189" s="175"/>
      <c r="O189" s="140"/>
      <c r="P189" s="128"/>
      <c r="Q189" s="130"/>
      <c r="R189" s="130"/>
      <c r="S189" s="173"/>
      <c r="T189" s="173"/>
      <c r="U189" s="184"/>
      <c r="AA189" s="49">
        <f t="shared" si="7"/>
        <v>0</v>
      </c>
      <c r="AB189" s="49">
        <f t="shared" si="8"/>
        <v>0</v>
      </c>
      <c r="AC189" s="131" t="e">
        <f t="shared" si="6"/>
        <v>#N/A</v>
      </c>
    </row>
    <row r="190" spans="2:29" x14ac:dyDescent="0.25">
      <c r="B190" s="127"/>
      <c r="C190" s="183"/>
      <c r="D190" s="128"/>
      <c r="E190" s="128"/>
      <c r="F190" s="128"/>
      <c r="G190" s="175"/>
      <c r="H190" s="175"/>
      <c r="I190" s="140"/>
      <c r="J190" s="175"/>
      <c r="K190" s="140"/>
      <c r="L190" s="175"/>
      <c r="M190" s="140"/>
      <c r="N190" s="175"/>
      <c r="O190" s="140"/>
      <c r="P190" s="128"/>
      <c r="Q190" s="130"/>
      <c r="R190" s="130"/>
      <c r="S190" s="173"/>
      <c r="T190" s="173"/>
      <c r="U190" s="184"/>
      <c r="AA190" s="49">
        <f t="shared" si="7"/>
        <v>0</v>
      </c>
      <c r="AB190" s="49">
        <f t="shared" si="8"/>
        <v>0</v>
      </c>
      <c r="AC190" s="131" t="e">
        <f t="shared" si="6"/>
        <v>#N/A</v>
      </c>
    </row>
    <row r="191" spans="2:29" x14ac:dyDescent="0.25">
      <c r="B191" s="127"/>
      <c r="C191" s="183"/>
      <c r="D191" s="128"/>
      <c r="E191" s="128"/>
      <c r="F191" s="128"/>
      <c r="G191" s="175"/>
      <c r="H191" s="175"/>
      <c r="I191" s="140"/>
      <c r="J191" s="175"/>
      <c r="K191" s="140"/>
      <c r="L191" s="175"/>
      <c r="M191" s="140"/>
      <c r="N191" s="175"/>
      <c r="O191" s="140"/>
      <c r="P191" s="128"/>
      <c r="Q191" s="130"/>
      <c r="R191" s="130"/>
      <c r="S191" s="173"/>
      <c r="T191" s="173"/>
      <c r="U191" s="184"/>
      <c r="AA191" s="49">
        <f t="shared" si="7"/>
        <v>0</v>
      </c>
      <c r="AB191" s="49">
        <f t="shared" si="8"/>
        <v>0</v>
      </c>
      <c r="AC191" s="131" t="e">
        <f t="shared" si="6"/>
        <v>#N/A</v>
      </c>
    </row>
    <row r="192" spans="2:29" x14ac:dyDescent="0.25">
      <c r="B192" s="127"/>
      <c r="C192" s="183"/>
      <c r="D192" s="128"/>
      <c r="E192" s="128"/>
      <c r="F192" s="128"/>
      <c r="G192" s="175"/>
      <c r="H192" s="175"/>
      <c r="I192" s="140"/>
      <c r="J192" s="175"/>
      <c r="K192" s="140"/>
      <c r="L192" s="175"/>
      <c r="M192" s="140"/>
      <c r="N192" s="175"/>
      <c r="O192" s="140"/>
      <c r="P192" s="128"/>
      <c r="Q192" s="130"/>
      <c r="R192" s="130"/>
      <c r="S192" s="173"/>
      <c r="T192" s="173"/>
      <c r="U192" s="184"/>
      <c r="AA192" s="49">
        <f t="shared" si="7"/>
        <v>0</v>
      </c>
      <c r="AB192" s="49">
        <f t="shared" si="8"/>
        <v>0</v>
      </c>
      <c r="AC192" s="131" t="e">
        <f t="shared" si="6"/>
        <v>#N/A</v>
      </c>
    </row>
    <row r="193" spans="2:29" x14ac:dyDescent="0.25">
      <c r="B193" s="127"/>
      <c r="C193" s="183"/>
      <c r="D193" s="128"/>
      <c r="E193" s="128"/>
      <c r="F193" s="128"/>
      <c r="G193" s="175"/>
      <c r="H193" s="175"/>
      <c r="I193" s="140"/>
      <c r="J193" s="175"/>
      <c r="K193" s="140"/>
      <c r="L193" s="175"/>
      <c r="M193" s="140"/>
      <c r="N193" s="175"/>
      <c r="O193" s="140"/>
      <c r="P193" s="128"/>
      <c r="Q193" s="130"/>
      <c r="R193" s="130"/>
      <c r="S193" s="173"/>
      <c r="T193" s="173"/>
      <c r="U193" s="184"/>
      <c r="AA193" s="49">
        <f t="shared" si="7"/>
        <v>0</v>
      </c>
      <c r="AB193" s="49">
        <f t="shared" si="8"/>
        <v>0</v>
      </c>
      <c r="AC193" s="131" t="e">
        <f t="shared" si="6"/>
        <v>#N/A</v>
      </c>
    </row>
    <row r="194" spans="2:29" x14ac:dyDescent="0.25">
      <c r="B194" s="127"/>
      <c r="C194" s="183"/>
      <c r="D194" s="128"/>
      <c r="E194" s="128"/>
      <c r="F194" s="128"/>
      <c r="G194" s="175"/>
      <c r="H194" s="175"/>
      <c r="I194" s="140"/>
      <c r="J194" s="175"/>
      <c r="K194" s="140"/>
      <c r="L194" s="175"/>
      <c r="M194" s="140"/>
      <c r="N194" s="175"/>
      <c r="O194" s="140"/>
      <c r="P194" s="128"/>
      <c r="Q194" s="130"/>
      <c r="R194" s="130"/>
      <c r="S194" s="173"/>
      <c r="T194" s="173"/>
      <c r="U194" s="184"/>
      <c r="AA194" s="49">
        <f t="shared" si="7"/>
        <v>0</v>
      </c>
      <c r="AB194" s="49">
        <f t="shared" si="8"/>
        <v>0</v>
      </c>
      <c r="AC194" s="131" t="e">
        <f t="shared" si="6"/>
        <v>#N/A</v>
      </c>
    </row>
    <row r="195" spans="2:29" x14ac:dyDescent="0.25">
      <c r="B195" s="127"/>
      <c r="C195" s="183"/>
      <c r="D195" s="128"/>
      <c r="E195" s="128"/>
      <c r="F195" s="128"/>
      <c r="G195" s="175"/>
      <c r="H195" s="175"/>
      <c r="I195" s="140"/>
      <c r="J195" s="175"/>
      <c r="K195" s="140"/>
      <c r="L195" s="175"/>
      <c r="M195" s="140"/>
      <c r="N195" s="175"/>
      <c r="O195" s="140"/>
      <c r="P195" s="128"/>
      <c r="Q195" s="130"/>
      <c r="R195" s="130"/>
      <c r="S195" s="173"/>
      <c r="T195" s="173"/>
      <c r="U195" s="184"/>
      <c r="AA195" s="49">
        <f t="shared" si="7"/>
        <v>0</v>
      </c>
      <c r="AB195" s="49">
        <f t="shared" si="8"/>
        <v>0</v>
      </c>
      <c r="AC195" s="131" t="e">
        <f t="shared" si="6"/>
        <v>#N/A</v>
      </c>
    </row>
    <row r="196" spans="2:29" x14ac:dyDescent="0.25">
      <c r="B196" s="127"/>
      <c r="C196" s="183"/>
      <c r="D196" s="128"/>
      <c r="E196" s="128"/>
      <c r="F196" s="128"/>
      <c r="G196" s="175"/>
      <c r="H196" s="175"/>
      <c r="I196" s="140"/>
      <c r="J196" s="175"/>
      <c r="K196" s="140"/>
      <c r="L196" s="175"/>
      <c r="M196" s="140"/>
      <c r="N196" s="175"/>
      <c r="O196" s="140"/>
      <c r="P196" s="128"/>
      <c r="Q196" s="130"/>
      <c r="R196" s="130"/>
      <c r="S196" s="173"/>
      <c r="T196" s="173"/>
      <c r="U196" s="184"/>
      <c r="AA196" s="49">
        <f t="shared" si="7"/>
        <v>0</v>
      </c>
      <c r="AB196" s="49">
        <f t="shared" si="8"/>
        <v>0</v>
      </c>
      <c r="AC196" s="131" t="e">
        <f t="shared" si="6"/>
        <v>#N/A</v>
      </c>
    </row>
    <row r="197" spans="2:29" x14ac:dyDescent="0.25">
      <c r="B197" s="127"/>
      <c r="C197" s="183"/>
      <c r="D197" s="128"/>
      <c r="E197" s="128"/>
      <c r="F197" s="128"/>
      <c r="G197" s="175"/>
      <c r="H197" s="175"/>
      <c r="I197" s="140"/>
      <c r="J197" s="175"/>
      <c r="K197" s="140"/>
      <c r="L197" s="175"/>
      <c r="M197" s="140"/>
      <c r="N197" s="175"/>
      <c r="O197" s="140"/>
      <c r="P197" s="128"/>
      <c r="Q197" s="130"/>
      <c r="R197" s="130"/>
      <c r="S197" s="173"/>
      <c r="T197" s="173"/>
      <c r="U197" s="184"/>
      <c r="AA197" s="49">
        <f t="shared" si="7"/>
        <v>0</v>
      </c>
      <c r="AB197" s="49">
        <f t="shared" si="8"/>
        <v>0</v>
      </c>
      <c r="AC197" s="131" t="e">
        <f t="shared" si="6"/>
        <v>#N/A</v>
      </c>
    </row>
    <row r="198" spans="2:29" x14ac:dyDescent="0.25">
      <c r="B198" s="127"/>
      <c r="C198" s="183"/>
      <c r="D198" s="128"/>
      <c r="E198" s="128"/>
      <c r="F198" s="128"/>
      <c r="G198" s="175"/>
      <c r="H198" s="175"/>
      <c r="I198" s="140"/>
      <c r="J198" s="175"/>
      <c r="K198" s="140"/>
      <c r="L198" s="175"/>
      <c r="M198" s="140"/>
      <c r="N198" s="175"/>
      <c r="O198" s="140"/>
      <c r="P198" s="128"/>
      <c r="Q198" s="130"/>
      <c r="R198" s="130"/>
      <c r="S198" s="173"/>
      <c r="T198" s="173"/>
      <c r="U198" s="184"/>
      <c r="AA198" s="49">
        <f t="shared" si="7"/>
        <v>0</v>
      </c>
      <c r="AB198" s="49">
        <f t="shared" si="8"/>
        <v>0</v>
      </c>
      <c r="AC198" s="131" t="e">
        <f t="shared" si="6"/>
        <v>#N/A</v>
      </c>
    </row>
    <row r="199" spans="2:29" x14ac:dyDescent="0.25">
      <c r="B199" s="127"/>
      <c r="C199" s="183"/>
      <c r="D199" s="128"/>
      <c r="E199" s="128"/>
      <c r="F199" s="128"/>
      <c r="G199" s="175"/>
      <c r="H199" s="175"/>
      <c r="I199" s="140"/>
      <c r="J199" s="175"/>
      <c r="K199" s="140"/>
      <c r="L199" s="175"/>
      <c r="M199" s="140"/>
      <c r="N199" s="175"/>
      <c r="O199" s="140"/>
      <c r="P199" s="128"/>
      <c r="Q199" s="130"/>
      <c r="R199" s="130"/>
      <c r="S199" s="173"/>
      <c r="T199" s="173"/>
      <c r="U199" s="184"/>
      <c r="AA199" s="49">
        <f t="shared" si="7"/>
        <v>0</v>
      </c>
      <c r="AB199" s="49">
        <f t="shared" si="8"/>
        <v>0</v>
      </c>
      <c r="AC199" s="131" t="e">
        <f t="shared" si="6"/>
        <v>#N/A</v>
      </c>
    </row>
    <row r="200" spans="2:29" x14ac:dyDescent="0.25">
      <c r="B200" s="127"/>
      <c r="C200" s="183"/>
      <c r="D200" s="128"/>
      <c r="E200" s="128"/>
      <c r="F200" s="128"/>
      <c r="G200" s="175"/>
      <c r="H200" s="175"/>
      <c r="I200" s="140"/>
      <c r="J200" s="175"/>
      <c r="K200" s="140"/>
      <c r="L200" s="175"/>
      <c r="M200" s="140"/>
      <c r="N200" s="175"/>
      <c r="O200" s="140"/>
      <c r="P200" s="128"/>
      <c r="Q200" s="130"/>
      <c r="R200" s="130"/>
      <c r="S200" s="173"/>
      <c r="T200" s="173"/>
      <c r="U200" s="184"/>
      <c r="AA200" s="49">
        <f t="shared" si="7"/>
        <v>0</v>
      </c>
      <c r="AB200" s="49">
        <f t="shared" si="8"/>
        <v>0</v>
      </c>
      <c r="AC200" s="131" t="e">
        <f t="shared" si="6"/>
        <v>#N/A</v>
      </c>
    </row>
    <row r="201" spans="2:29" x14ac:dyDescent="0.25">
      <c r="B201" s="127"/>
      <c r="C201" s="183"/>
      <c r="D201" s="128"/>
      <c r="E201" s="128"/>
      <c r="F201" s="128"/>
      <c r="G201" s="175"/>
      <c r="H201" s="175"/>
      <c r="I201" s="140"/>
      <c r="J201" s="175"/>
      <c r="K201" s="140"/>
      <c r="L201" s="175"/>
      <c r="M201" s="140"/>
      <c r="N201" s="175"/>
      <c r="O201" s="140"/>
      <c r="P201" s="128"/>
      <c r="Q201" s="130"/>
      <c r="R201" s="130"/>
      <c r="S201" s="173"/>
      <c r="T201" s="173"/>
      <c r="U201" s="184"/>
      <c r="AA201" s="49">
        <f t="shared" si="7"/>
        <v>0</v>
      </c>
      <c r="AB201" s="49">
        <f t="shared" si="8"/>
        <v>0</v>
      </c>
      <c r="AC201" s="131" t="e">
        <f t="shared" si="6"/>
        <v>#N/A</v>
      </c>
    </row>
    <row r="202" spans="2:29" x14ac:dyDescent="0.25">
      <c r="B202" s="127"/>
      <c r="C202" s="183"/>
      <c r="D202" s="128"/>
      <c r="E202" s="128"/>
      <c r="F202" s="128"/>
      <c r="G202" s="175"/>
      <c r="H202" s="175"/>
      <c r="I202" s="140"/>
      <c r="J202" s="175"/>
      <c r="K202" s="140"/>
      <c r="L202" s="175"/>
      <c r="M202" s="140"/>
      <c r="N202" s="175"/>
      <c r="O202" s="140"/>
      <c r="P202" s="128"/>
      <c r="Q202" s="130"/>
      <c r="R202" s="130"/>
      <c r="S202" s="173"/>
      <c r="T202" s="173"/>
      <c r="U202" s="184"/>
      <c r="AA202" s="49">
        <f t="shared" si="7"/>
        <v>0</v>
      </c>
      <c r="AB202" s="49">
        <f t="shared" si="8"/>
        <v>0</v>
      </c>
      <c r="AC202" s="131" t="e">
        <f t="shared" si="6"/>
        <v>#N/A</v>
      </c>
    </row>
    <row r="203" spans="2:29" x14ac:dyDescent="0.25">
      <c r="B203" s="127"/>
      <c r="C203" s="183"/>
      <c r="D203" s="128"/>
      <c r="E203" s="128"/>
      <c r="F203" s="128"/>
      <c r="G203" s="175"/>
      <c r="H203" s="175"/>
      <c r="I203" s="140"/>
      <c r="J203" s="175"/>
      <c r="K203" s="140"/>
      <c r="L203" s="175"/>
      <c r="M203" s="140"/>
      <c r="N203" s="175"/>
      <c r="O203" s="140"/>
      <c r="P203" s="128"/>
      <c r="Q203" s="130"/>
      <c r="R203" s="130"/>
      <c r="S203" s="173"/>
      <c r="T203" s="173"/>
      <c r="U203" s="184"/>
      <c r="AA203" s="49">
        <f t="shared" si="7"/>
        <v>0</v>
      </c>
      <c r="AB203" s="49">
        <f t="shared" si="8"/>
        <v>0</v>
      </c>
      <c r="AC203" s="131" t="e">
        <f t="shared" si="6"/>
        <v>#N/A</v>
      </c>
    </row>
    <row r="204" spans="2:29" x14ac:dyDescent="0.25">
      <c r="B204" s="127"/>
      <c r="C204" s="183"/>
      <c r="D204" s="128"/>
      <c r="E204" s="128"/>
      <c r="F204" s="128"/>
      <c r="G204" s="175"/>
      <c r="H204" s="175"/>
      <c r="I204" s="140"/>
      <c r="J204" s="175"/>
      <c r="K204" s="140"/>
      <c r="L204" s="175"/>
      <c r="M204" s="140"/>
      <c r="N204" s="175"/>
      <c r="O204" s="140"/>
      <c r="P204" s="128"/>
      <c r="Q204" s="130"/>
      <c r="R204" s="130"/>
      <c r="S204" s="173"/>
      <c r="T204" s="173"/>
      <c r="U204" s="184"/>
      <c r="AA204" s="49">
        <f t="shared" si="7"/>
        <v>0</v>
      </c>
      <c r="AB204" s="49">
        <f t="shared" si="8"/>
        <v>0</v>
      </c>
      <c r="AC204" s="131" t="e">
        <f t="shared" si="6"/>
        <v>#N/A</v>
      </c>
    </row>
    <row r="205" spans="2:29" x14ac:dyDescent="0.25">
      <c r="B205" s="127"/>
      <c r="C205" s="183"/>
      <c r="D205" s="128"/>
      <c r="E205" s="128"/>
      <c r="F205" s="128"/>
      <c r="G205" s="175"/>
      <c r="H205" s="175"/>
      <c r="I205" s="140"/>
      <c r="J205" s="175"/>
      <c r="K205" s="140"/>
      <c r="L205" s="175"/>
      <c r="M205" s="140"/>
      <c r="N205" s="175"/>
      <c r="O205" s="140"/>
      <c r="P205" s="128"/>
      <c r="Q205" s="130"/>
      <c r="R205" s="130"/>
      <c r="S205" s="173"/>
      <c r="T205" s="173"/>
      <c r="U205" s="184"/>
      <c r="AA205" s="49">
        <f t="shared" si="7"/>
        <v>0</v>
      </c>
      <c r="AB205" s="49">
        <f t="shared" si="8"/>
        <v>0</v>
      </c>
      <c r="AC205" s="131" t="e">
        <f t="shared" si="6"/>
        <v>#N/A</v>
      </c>
    </row>
    <row r="206" spans="2:29" x14ac:dyDescent="0.25">
      <c r="B206" s="127"/>
      <c r="C206" s="183"/>
      <c r="D206" s="128"/>
      <c r="E206" s="128"/>
      <c r="F206" s="128"/>
      <c r="G206" s="175"/>
      <c r="H206" s="175"/>
      <c r="I206" s="140"/>
      <c r="J206" s="175"/>
      <c r="K206" s="140"/>
      <c r="L206" s="175"/>
      <c r="M206" s="140"/>
      <c r="N206" s="175"/>
      <c r="O206" s="140"/>
      <c r="P206" s="128"/>
      <c r="Q206" s="130"/>
      <c r="R206" s="130"/>
      <c r="S206" s="173"/>
      <c r="T206" s="173"/>
      <c r="U206" s="184"/>
      <c r="AA206" s="49">
        <f t="shared" si="7"/>
        <v>0</v>
      </c>
      <c r="AB206" s="49">
        <f t="shared" si="8"/>
        <v>0</v>
      </c>
      <c r="AC206" s="131" t="e">
        <f t="shared" si="6"/>
        <v>#N/A</v>
      </c>
    </row>
    <row r="207" spans="2:29" x14ac:dyDescent="0.25">
      <c r="B207" s="127"/>
      <c r="C207" s="183"/>
      <c r="D207" s="128"/>
      <c r="E207" s="128"/>
      <c r="F207" s="128"/>
      <c r="G207" s="175"/>
      <c r="H207" s="175"/>
      <c r="I207" s="140"/>
      <c r="J207" s="175"/>
      <c r="K207" s="140"/>
      <c r="L207" s="175"/>
      <c r="M207" s="140"/>
      <c r="N207" s="175"/>
      <c r="O207" s="140"/>
      <c r="P207" s="128"/>
      <c r="Q207" s="130"/>
      <c r="R207" s="130"/>
      <c r="S207" s="173"/>
      <c r="T207" s="173"/>
      <c r="U207" s="184"/>
      <c r="AA207" s="49">
        <f t="shared" si="7"/>
        <v>0</v>
      </c>
      <c r="AB207" s="49">
        <f t="shared" si="8"/>
        <v>0</v>
      </c>
      <c r="AC207" s="131" t="e">
        <f t="shared" si="6"/>
        <v>#N/A</v>
      </c>
    </row>
    <row r="208" spans="2:29" x14ac:dyDescent="0.25">
      <c r="B208" s="127"/>
      <c r="C208" s="183"/>
      <c r="D208" s="128"/>
      <c r="E208" s="128"/>
      <c r="F208" s="128"/>
      <c r="G208" s="175"/>
      <c r="H208" s="175"/>
      <c r="I208" s="140"/>
      <c r="J208" s="175"/>
      <c r="K208" s="140"/>
      <c r="L208" s="175"/>
      <c r="M208" s="140"/>
      <c r="N208" s="175"/>
      <c r="O208" s="140"/>
      <c r="P208" s="128"/>
      <c r="Q208" s="130"/>
      <c r="R208" s="130"/>
      <c r="S208" s="173"/>
      <c r="T208" s="173"/>
      <c r="U208" s="184"/>
      <c r="AA208" s="49">
        <f t="shared" si="7"/>
        <v>0</v>
      </c>
      <c r="AB208" s="49">
        <f t="shared" si="8"/>
        <v>0</v>
      </c>
      <c r="AC208" s="131" t="e">
        <f t="shared" ref="AC208:AC271" si="9">VLOOKUP(C208,ChamberType,2,FALSE)</f>
        <v>#N/A</v>
      </c>
    </row>
    <row r="209" spans="2:29" x14ac:dyDescent="0.25">
      <c r="B209" s="127"/>
      <c r="C209" s="183"/>
      <c r="D209" s="128"/>
      <c r="E209" s="128"/>
      <c r="F209" s="128"/>
      <c r="G209" s="175"/>
      <c r="H209" s="175"/>
      <c r="I209" s="140"/>
      <c r="J209" s="175"/>
      <c r="K209" s="140"/>
      <c r="L209" s="175"/>
      <c r="M209" s="140"/>
      <c r="N209" s="175"/>
      <c r="O209" s="140"/>
      <c r="P209" s="128"/>
      <c r="Q209" s="130"/>
      <c r="R209" s="130"/>
      <c r="S209" s="173"/>
      <c r="T209" s="173"/>
      <c r="U209" s="184"/>
      <c r="AA209" s="49">
        <f t="shared" ref="AA209:AA272" si="10">D209+J209/6</f>
        <v>0</v>
      </c>
      <c r="AB209" s="49">
        <f t="shared" ref="AB209:AB272" si="11">D209+(J209+N209)/12</f>
        <v>0</v>
      </c>
      <c r="AC209" s="131" t="e">
        <f t="shared" si="9"/>
        <v>#N/A</v>
      </c>
    </row>
    <row r="210" spans="2:29" x14ac:dyDescent="0.25">
      <c r="B210" s="127"/>
      <c r="C210" s="183"/>
      <c r="D210" s="128"/>
      <c r="E210" s="128"/>
      <c r="F210" s="128"/>
      <c r="G210" s="175"/>
      <c r="H210" s="175"/>
      <c r="I210" s="140"/>
      <c r="J210" s="175"/>
      <c r="K210" s="140"/>
      <c r="L210" s="175"/>
      <c r="M210" s="140"/>
      <c r="N210" s="175"/>
      <c r="O210" s="140"/>
      <c r="P210" s="128"/>
      <c r="Q210" s="130"/>
      <c r="R210" s="130"/>
      <c r="S210" s="173"/>
      <c r="T210" s="173"/>
      <c r="U210" s="184"/>
      <c r="AA210" s="49">
        <f t="shared" si="10"/>
        <v>0</v>
      </c>
      <c r="AB210" s="49">
        <f t="shared" si="11"/>
        <v>0</v>
      </c>
      <c r="AC210" s="131" t="e">
        <f t="shared" si="9"/>
        <v>#N/A</v>
      </c>
    </row>
    <row r="211" spans="2:29" x14ac:dyDescent="0.25">
      <c r="B211" s="127"/>
      <c r="C211" s="183"/>
      <c r="D211" s="128"/>
      <c r="E211" s="128"/>
      <c r="F211" s="128"/>
      <c r="G211" s="175"/>
      <c r="H211" s="175"/>
      <c r="I211" s="140"/>
      <c r="J211" s="175"/>
      <c r="K211" s="140"/>
      <c r="L211" s="175"/>
      <c r="M211" s="140"/>
      <c r="N211" s="175"/>
      <c r="O211" s="140"/>
      <c r="P211" s="128"/>
      <c r="Q211" s="130"/>
      <c r="R211" s="130"/>
      <c r="S211" s="173"/>
      <c r="T211" s="173"/>
      <c r="U211" s="184"/>
      <c r="AA211" s="49">
        <f t="shared" si="10"/>
        <v>0</v>
      </c>
      <c r="AB211" s="49">
        <f t="shared" si="11"/>
        <v>0</v>
      </c>
      <c r="AC211" s="131" t="e">
        <f t="shared" si="9"/>
        <v>#N/A</v>
      </c>
    </row>
    <row r="212" spans="2:29" x14ac:dyDescent="0.25">
      <c r="B212" s="127"/>
      <c r="C212" s="183"/>
      <c r="D212" s="128"/>
      <c r="E212" s="128"/>
      <c r="F212" s="128"/>
      <c r="G212" s="175"/>
      <c r="H212" s="175"/>
      <c r="I212" s="140"/>
      <c r="J212" s="175"/>
      <c r="K212" s="140"/>
      <c r="L212" s="175"/>
      <c r="M212" s="140"/>
      <c r="N212" s="175"/>
      <c r="O212" s="140"/>
      <c r="P212" s="128"/>
      <c r="Q212" s="130"/>
      <c r="R212" s="130"/>
      <c r="S212" s="173"/>
      <c r="T212" s="173"/>
      <c r="U212" s="184"/>
      <c r="AA212" s="49">
        <f t="shared" si="10"/>
        <v>0</v>
      </c>
      <c r="AB212" s="49">
        <f t="shared" si="11"/>
        <v>0</v>
      </c>
      <c r="AC212" s="131" t="e">
        <f t="shared" si="9"/>
        <v>#N/A</v>
      </c>
    </row>
    <row r="213" spans="2:29" x14ac:dyDescent="0.25">
      <c r="B213" s="127"/>
      <c r="C213" s="183"/>
      <c r="D213" s="128"/>
      <c r="E213" s="128"/>
      <c r="F213" s="128"/>
      <c r="G213" s="175"/>
      <c r="H213" s="175"/>
      <c r="I213" s="140"/>
      <c r="J213" s="175"/>
      <c r="K213" s="140"/>
      <c r="L213" s="175"/>
      <c r="M213" s="140"/>
      <c r="N213" s="175"/>
      <c r="O213" s="140"/>
      <c r="P213" s="128"/>
      <c r="Q213" s="130"/>
      <c r="R213" s="130"/>
      <c r="S213" s="173"/>
      <c r="T213" s="173"/>
      <c r="U213" s="184"/>
      <c r="AA213" s="49">
        <f t="shared" si="10"/>
        <v>0</v>
      </c>
      <c r="AB213" s="49">
        <f t="shared" si="11"/>
        <v>0</v>
      </c>
      <c r="AC213" s="131" t="e">
        <f t="shared" si="9"/>
        <v>#N/A</v>
      </c>
    </row>
    <row r="214" spans="2:29" x14ac:dyDescent="0.25">
      <c r="B214" s="127"/>
      <c r="C214" s="183"/>
      <c r="D214" s="128"/>
      <c r="E214" s="128"/>
      <c r="F214" s="128"/>
      <c r="G214" s="175"/>
      <c r="H214" s="175"/>
      <c r="I214" s="140"/>
      <c r="J214" s="175"/>
      <c r="K214" s="140"/>
      <c r="L214" s="175"/>
      <c r="M214" s="140"/>
      <c r="N214" s="175"/>
      <c r="O214" s="140"/>
      <c r="P214" s="128"/>
      <c r="Q214" s="130"/>
      <c r="R214" s="130"/>
      <c r="S214" s="173"/>
      <c r="T214" s="173"/>
      <c r="U214" s="184"/>
      <c r="AA214" s="49">
        <f t="shared" si="10"/>
        <v>0</v>
      </c>
      <c r="AB214" s="49">
        <f t="shared" si="11"/>
        <v>0</v>
      </c>
      <c r="AC214" s="131" t="e">
        <f t="shared" si="9"/>
        <v>#N/A</v>
      </c>
    </row>
    <row r="215" spans="2:29" x14ac:dyDescent="0.25">
      <c r="B215" s="127"/>
      <c r="C215" s="183"/>
      <c r="D215" s="128"/>
      <c r="E215" s="128"/>
      <c r="F215" s="128"/>
      <c r="G215" s="175"/>
      <c r="H215" s="175"/>
      <c r="I215" s="140"/>
      <c r="J215" s="175"/>
      <c r="K215" s="140"/>
      <c r="L215" s="175"/>
      <c r="M215" s="140"/>
      <c r="N215" s="175"/>
      <c r="O215" s="140"/>
      <c r="P215" s="128"/>
      <c r="Q215" s="130"/>
      <c r="R215" s="130"/>
      <c r="S215" s="173"/>
      <c r="T215" s="173"/>
      <c r="U215" s="184"/>
      <c r="AA215" s="49">
        <f t="shared" si="10"/>
        <v>0</v>
      </c>
      <c r="AB215" s="49">
        <f t="shared" si="11"/>
        <v>0</v>
      </c>
      <c r="AC215" s="131" t="e">
        <f t="shared" si="9"/>
        <v>#N/A</v>
      </c>
    </row>
    <row r="216" spans="2:29" x14ac:dyDescent="0.25">
      <c r="B216" s="127"/>
      <c r="C216" s="183"/>
      <c r="D216" s="128"/>
      <c r="E216" s="128"/>
      <c r="F216" s="128"/>
      <c r="G216" s="175"/>
      <c r="H216" s="175"/>
      <c r="I216" s="140"/>
      <c r="J216" s="175"/>
      <c r="K216" s="140"/>
      <c r="L216" s="175"/>
      <c r="M216" s="140"/>
      <c r="N216" s="175"/>
      <c r="O216" s="140"/>
      <c r="P216" s="128"/>
      <c r="Q216" s="130"/>
      <c r="R216" s="130"/>
      <c r="S216" s="173"/>
      <c r="T216" s="173"/>
      <c r="U216" s="184"/>
      <c r="AA216" s="49">
        <f t="shared" si="10"/>
        <v>0</v>
      </c>
      <c r="AB216" s="49">
        <f t="shared" si="11"/>
        <v>0</v>
      </c>
      <c r="AC216" s="131" t="e">
        <f t="shared" si="9"/>
        <v>#N/A</v>
      </c>
    </row>
    <row r="217" spans="2:29" x14ac:dyDescent="0.25">
      <c r="B217" s="127"/>
      <c r="C217" s="183"/>
      <c r="D217" s="128"/>
      <c r="E217" s="128"/>
      <c r="F217" s="128"/>
      <c r="G217" s="175"/>
      <c r="H217" s="175"/>
      <c r="I217" s="140"/>
      <c r="J217" s="175"/>
      <c r="K217" s="140"/>
      <c r="L217" s="175"/>
      <c r="M217" s="140"/>
      <c r="N217" s="175"/>
      <c r="O217" s="140"/>
      <c r="P217" s="128"/>
      <c r="Q217" s="130"/>
      <c r="R217" s="130"/>
      <c r="S217" s="173"/>
      <c r="T217" s="173"/>
      <c r="U217" s="184"/>
      <c r="AA217" s="49">
        <f t="shared" si="10"/>
        <v>0</v>
      </c>
      <c r="AB217" s="49">
        <f t="shared" si="11"/>
        <v>0</v>
      </c>
      <c r="AC217" s="131" t="e">
        <f t="shared" si="9"/>
        <v>#N/A</v>
      </c>
    </row>
    <row r="218" spans="2:29" x14ac:dyDescent="0.25">
      <c r="B218" s="127"/>
      <c r="C218" s="183"/>
      <c r="D218" s="128"/>
      <c r="E218" s="128"/>
      <c r="F218" s="128"/>
      <c r="G218" s="175"/>
      <c r="H218" s="175"/>
      <c r="I218" s="140"/>
      <c r="J218" s="175"/>
      <c r="K218" s="140"/>
      <c r="L218" s="175"/>
      <c r="M218" s="140"/>
      <c r="N218" s="175"/>
      <c r="O218" s="140"/>
      <c r="P218" s="128"/>
      <c r="Q218" s="130"/>
      <c r="R218" s="130"/>
      <c r="S218" s="173"/>
      <c r="T218" s="173"/>
      <c r="U218" s="184"/>
      <c r="AA218" s="49">
        <f t="shared" si="10"/>
        <v>0</v>
      </c>
      <c r="AB218" s="49">
        <f t="shared" si="11"/>
        <v>0</v>
      </c>
      <c r="AC218" s="131" t="e">
        <f t="shared" si="9"/>
        <v>#N/A</v>
      </c>
    </row>
    <row r="219" spans="2:29" x14ac:dyDescent="0.25">
      <c r="B219" s="127"/>
      <c r="C219" s="183"/>
      <c r="D219" s="128"/>
      <c r="E219" s="128"/>
      <c r="F219" s="128"/>
      <c r="G219" s="175"/>
      <c r="H219" s="175"/>
      <c r="I219" s="140"/>
      <c r="J219" s="175"/>
      <c r="K219" s="140"/>
      <c r="L219" s="175"/>
      <c r="M219" s="140"/>
      <c r="N219" s="175"/>
      <c r="O219" s="140"/>
      <c r="P219" s="128"/>
      <c r="Q219" s="130"/>
      <c r="R219" s="130"/>
      <c r="S219" s="173"/>
      <c r="T219" s="173"/>
      <c r="U219" s="184"/>
      <c r="AA219" s="49">
        <f t="shared" si="10"/>
        <v>0</v>
      </c>
      <c r="AB219" s="49">
        <f t="shared" si="11"/>
        <v>0</v>
      </c>
      <c r="AC219" s="131" t="e">
        <f t="shared" si="9"/>
        <v>#N/A</v>
      </c>
    </row>
    <row r="220" spans="2:29" x14ac:dyDescent="0.25">
      <c r="B220" s="127"/>
      <c r="C220" s="183"/>
      <c r="D220" s="128"/>
      <c r="E220" s="128"/>
      <c r="F220" s="128"/>
      <c r="G220" s="175"/>
      <c r="H220" s="175"/>
      <c r="I220" s="140"/>
      <c r="J220" s="175"/>
      <c r="K220" s="140"/>
      <c r="L220" s="175"/>
      <c r="M220" s="140"/>
      <c r="N220" s="175"/>
      <c r="O220" s="140"/>
      <c r="P220" s="128"/>
      <c r="Q220" s="130"/>
      <c r="R220" s="130"/>
      <c r="S220" s="173"/>
      <c r="T220" s="173"/>
      <c r="U220" s="184"/>
      <c r="AA220" s="49">
        <f t="shared" si="10"/>
        <v>0</v>
      </c>
      <c r="AB220" s="49">
        <f t="shared" si="11"/>
        <v>0</v>
      </c>
      <c r="AC220" s="131" t="e">
        <f t="shared" si="9"/>
        <v>#N/A</v>
      </c>
    </row>
    <row r="221" spans="2:29" x14ac:dyDescent="0.25">
      <c r="B221" s="127"/>
      <c r="C221" s="183"/>
      <c r="D221" s="128"/>
      <c r="E221" s="128"/>
      <c r="F221" s="128"/>
      <c r="G221" s="175"/>
      <c r="H221" s="175"/>
      <c r="I221" s="140"/>
      <c r="J221" s="175"/>
      <c r="K221" s="140"/>
      <c r="L221" s="175"/>
      <c r="M221" s="140"/>
      <c r="N221" s="175"/>
      <c r="O221" s="140"/>
      <c r="P221" s="128"/>
      <c r="Q221" s="130"/>
      <c r="R221" s="130"/>
      <c r="S221" s="173"/>
      <c r="T221" s="173"/>
      <c r="U221" s="184"/>
      <c r="AA221" s="49">
        <f t="shared" si="10"/>
        <v>0</v>
      </c>
      <c r="AB221" s="49">
        <f t="shared" si="11"/>
        <v>0</v>
      </c>
      <c r="AC221" s="131" t="e">
        <f t="shared" si="9"/>
        <v>#N/A</v>
      </c>
    </row>
    <row r="222" spans="2:29" x14ac:dyDescent="0.25">
      <c r="B222" s="127"/>
      <c r="C222" s="183"/>
      <c r="D222" s="128"/>
      <c r="E222" s="128"/>
      <c r="F222" s="128"/>
      <c r="G222" s="175"/>
      <c r="H222" s="175"/>
      <c r="I222" s="140"/>
      <c r="J222" s="175"/>
      <c r="K222" s="140"/>
      <c r="L222" s="175"/>
      <c r="M222" s="140"/>
      <c r="N222" s="175"/>
      <c r="O222" s="140"/>
      <c r="P222" s="128"/>
      <c r="Q222" s="130"/>
      <c r="R222" s="130"/>
      <c r="S222" s="173"/>
      <c r="T222" s="173"/>
      <c r="U222" s="184"/>
      <c r="AA222" s="49">
        <f t="shared" si="10"/>
        <v>0</v>
      </c>
      <c r="AB222" s="49">
        <f t="shared" si="11"/>
        <v>0</v>
      </c>
      <c r="AC222" s="131" t="e">
        <f t="shared" si="9"/>
        <v>#N/A</v>
      </c>
    </row>
    <row r="223" spans="2:29" x14ac:dyDescent="0.25">
      <c r="B223" s="127"/>
      <c r="C223" s="183"/>
      <c r="D223" s="128"/>
      <c r="E223" s="128"/>
      <c r="F223" s="128"/>
      <c r="G223" s="175"/>
      <c r="H223" s="175"/>
      <c r="I223" s="140"/>
      <c r="J223" s="175"/>
      <c r="K223" s="140"/>
      <c r="L223" s="175"/>
      <c r="M223" s="140"/>
      <c r="N223" s="175"/>
      <c r="O223" s="140"/>
      <c r="P223" s="128"/>
      <c r="Q223" s="130"/>
      <c r="R223" s="130"/>
      <c r="S223" s="173"/>
      <c r="T223" s="173"/>
      <c r="U223" s="184"/>
      <c r="AA223" s="49">
        <f t="shared" si="10"/>
        <v>0</v>
      </c>
      <c r="AB223" s="49">
        <f t="shared" si="11"/>
        <v>0</v>
      </c>
      <c r="AC223" s="131" t="e">
        <f t="shared" si="9"/>
        <v>#N/A</v>
      </c>
    </row>
    <row r="224" spans="2:29" x14ac:dyDescent="0.25">
      <c r="B224" s="127"/>
      <c r="C224" s="183"/>
      <c r="D224" s="128"/>
      <c r="E224" s="128"/>
      <c r="F224" s="128"/>
      <c r="G224" s="175"/>
      <c r="H224" s="175"/>
      <c r="I224" s="140"/>
      <c r="J224" s="175"/>
      <c r="K224" s="140"/>
      <c r="L224" s="175"/>
      <c r="M224" s="140"/>
      <c r="N224" s="175"/>
      <c r="O224" s="140"/>
      <c r="P224" s="128"/>
      <c r="Q224" s="130"/>
      <c r="R224" s="130"/>
      <c r="S224" s="173"/>
      <c r="T224" s="173"/>
      <c r="U224" s="184"/>
      <c r="AA224" s="49">
        <f t="shared" si="10"/>
        <v>0</v>
      </c>
      <c r="AB224" s="49">
        <f t="shared" si="11"/>
        <v>0</v>
      </c>
      <c r="AC224" s="131" t="e">
        <f t="shared" si="9"/>
        <v>#N/A</v>
      </c>
    </row>
    <row r="225" spans="2:29" x14ac:dyDescent="0.25">
      <c r="B225" s="127"/>
      <c r="C225" s="183"/>
      <c r="D225" s="128"/>
      <c r="E225" s="128"/>
      <c r="F225" s="128"/>
      <c r="G225" s="175"/>
      <c r="H225" s="175"/>
      <c r="I225" s="140"/>
      <c r="J225" s="175"/>
      <c r="K225" s="140"/>
      <c r="L225" s="175"/>
      <c r="M225" s="140"/>
      <c r="N225" s="175"/>
      <c r="O225" s="140"/>
      <c r="P225" s="128"/>
      <c r="Q225" s="130"/>
      <c r="R225" s="130"/>
      <c r="S225" s="173"/>
      <c r="T225" s="173"/>
      <c r="U225" s="184"/>
      <c r="AA225" s="49">
        <f t="shared" si="10"/>
        <v>0</v>
      </c>
      <c r="AB225" s="49">
        <f t="shared" si="11"/>
        <v>0</v>
      </c>
      <c r="AC225" s="131" t="e">
        <f t="shared" si="9"/>
        <v>#N/A</v>
      </c>
    </row>
    <row r="226" spans="2:29" x14ac:dyDescent="0.25">
      <c r="B226" s="127"/>
      <c r="C226" s="183"/>
      <c r="D226" s="128"/>
      <c r="E226" s="128"/>
      <c r="F226" s="128"/>
      <c r="G226" s="175"/>
      <c r="H226" s="175"/>
      <c r="I226" s="140"/>
      <c r="J226" s="175"/>
      <c r="K226" s="140"/>
      <c r="L226" s="175"/>
      <c r="M226" s="140"/>
      <c r="N226" s="175"/>
      <c r="O226" s="140"/>
      <c r="P226" s="128"/>
      <c r="Q226" s="130"/>
      <c r="R226" s="130"/>
      <c r="S226" s="173"/>
      <c r="T226" s="173"/>
      <c r="U226" s="184"/>
      <c r="AA226" s="49">
        <f t="shared" si="10"/>
        <v>0</v>
      </c>
      <c r="AB226" s="49">
        <f t="shared" si="11"/>
        <v>0</v>
      </c>
      <c r="AC226" s="131" t="e">
        <f t="shared" si="9"/>
        <v>#N/A</v>
      </c>
    </row>
    <row r="227" spans="2:29" x14ac:dyDescent="0.25">
      <c r="B227" s="127"/>
      <c r="C227" s="183"/>
      <c r="D227" s="128"/>
      <c r="E227" s="128"/>
      <c r="F227" s="128"/>
      <c r="G227" s="175"/>
      <c r="H227" s="175"/>
      <c r="I227" s="140"/>
      <c r="J227" s="175"/>
      <c r="K227" s="140"/>
      <c r="L227" s="175"/>
      <c r="M227" s="140"/>
      <c r="N227" s="175"/>
      <c r="O227" s="140"/>
      <c r="P227" s="128"/>
      <c r="Q227" s="130"/>
      <c r="R227" s="130"/>
      <c r="S227" s="173"/>
      <c r="T227" s="173"/>
      <c r="U227" s="184"/>
      <c r="AA227" s="49">
        <f t="shared" si="10"/>
        <v>0</v>
      </c>
      <c r="AB227" s="49">
        <f t="shared" si="11"/>
        <v>0</v>
      </c>
      <c r="AC227" s="131" t="e">
        <f t="shared" si="9"/>
        <v>#N/A</v>
      </c>
    </row>
    <row r="228" spans="2:29" x14ac:dyDescent="0.25">
      <c r="B228" s="127"/>
      <c r="C228" s="183"/>
      <c r="D228" s="128"/>
      <c r="E228" s="128"/>
      <c r="F228" s="128"/>
      <c r="G228" s="175"/>
      <c r="H228" s="175"/>
      <c r="I228" s="140"/>
      <c r="J228" s="175"/>
      <c r="K228" s="140"/>
      <c r="L228" s="175"/>
      <c r="M228" s="140"/>
      <c r="N228" s="175"/>
      <c r="O228" s="140"/>
      <c r="P228" s="128"/>
      <c r="Q228" s="130"/>
      <c r="R228" s="130"/>
      <c r="S228" s="173"/>
      <c r="T228" s="173"/>
      <c r="U228" s="184"/>
      <c r="AA228" s="49">
        <f t="shared" si="10"/>
        <v>0</v>
      </c>
      <c r="AB228" s="49">
        <f t="shared" si="11"/>
        <v>0</v>
      </c>
      <c r="AC228" s="131" t="e">
        <f t="shared" si="9"/>
        <v>#N/A</v>
      </c>
    </row>
    <row r="229" spans="2:29" x14ac:dyDescent="0.25">
      <c r="B229" s="127"/>
      <c r="C229" s="183"/>
      <c r="D229" s="128"/>
      <c r="E229" s="128"/>
      <c r="F229" s="128"/>
      <c r="G229" s="175"/>
      <c r="H229" s="175"/>
      <c r="I229" s="140"/>
      <c r="J229" s="175"/>
      <c r="K229" s="140"/>
      <c r="L229" s="175"/>
      <c r="M229" s="140"/>
      <c r="N229" s="175"/>
      <c r="O229" s="140"/>
      <c r="P229" s="128"/>
      <c r="Q229" s="130"/>
      <c r="R229" s="130"/>
      <c r="S229" s="173"/>
      <c r="T229" s="173"/>
      <c r="U229" s="184"/>
      <c r="AA229" s="49">
        <f t="shared" si="10"/>
        <v>0</v>
      </c>
      <c r="AB229" s="49">
        <f t="shared" si="11"/>
        <v>0</v>
      </c>
      <c r="AC229" s="131" t="e">
        <f t="shared" si="9"/>
        <v>#N/A</v>
      </c>
    </row>
    <row r="230" spans="2:29" x14ac:dyDescent="0.25">
      <c r="B230" s="127"/>
      <c r="C230" s="183"/>
      <c r="D230" s="128"/>
      <c r="E230" s="128"/>
      <c r="F230" s="128"/>
      <c r="G230" s="175"/>
      <c r="H230" s="175"/>
      <c r="I230" s="140"/>
      <c r="J230" s="175"/>
      <c r="K230" s="140"/>
      <c r="L230" s="175"/>
      <c r="M230" s="140"/>
      <c r="N230" s="175"/>
      <c r="O230" s="140"/>
      <c r="P230" s="128"/>
      <c r="Q230" s="130"/>
      <c r="R230" s="130"/>
      <c r="S230" s="173"/>
      <c r="T230" s="173"/>
      <c r="U230" s="184"/>
      <c r="AA230" s="49">
        <f t="shared" si="10"/>
        <v>0</v>
      </c>
      <c r="AB230" s="49">
        <f t="shared" si="11"/>
        <v>0</v>
      </c>
      <c r="AC230" s="131" t="e">
        <f t="shared" si="9"/>
        <v>#N/A</v>
      </c>
    </row>
    <row r="231" spans="2:29" x14ac:dyDescent="0.25">
      <c r="B231" s="127"/>
      <c r="C231" s="183"/>
      <c r="D231" s="128"/>
      <c r="E231" s="128"/>
      <c r="F231" s="128"/>
      <c r="G231" s="175"/>
      <c r="H231" s="175"/>
      <c r="I231" s="140"/>
      <c r="J231" s="175"/>
      <c r="K231" s="140"/>
      <c r="L231" s="175"/>
      <c r="M231" s="140"/>
      <c r="N231" s="175"/>
      <c r="O231" s="140"/>
      <c r="P231" s="128"/>
      <c r="Q231" s="130"/>
      <c r="R231" s="130"/>
      <c r="S231" s="173"/>
      <c r="T231" s="173"/>
      <c r="U231" s="184"/>
      <c r="AA231" s="49">
        <f t="shared" si="10"/>
        <v>0</v>
      </c>
      <c r="AB231" s="49">
        <f t="shared" si="11"/>
        <v>0</v>
      </c>
      <c r="AC231" s="131" t="e">
        <f t="shared" si="9"/>
        <v>#N/A</v>
      </c>
    </row>
    <row r="232" spans="2:29" x14ac:dyDescent="0.25">
      <c r="B232" s="127"/>
      <c r="C232" s="183"/>
      <c r="D232" s="128"/>
      <c r="E232" s="128"/>
      <c r="F232" s="128"/>
      <c r="G232" s="175"/>
      <c r="H232" s="175"/>
      <c r="I232" s="140"/>
      <c r="J232" s="175"/>
      <c r="K232" s="140"/>
      <c r="L232" s="175"/>
      <c r="M232" s="140"/>
      <c r="N232" s="175"/>
      <c r="O232" s="140"/>
      <c r="P232" s="128"/>
      <c r="Q232" s="130"/>
      <c r="R232" s="130"/>
      <c r="S232" s="173"/>
      <c r="T232" s="173"/>
      <c r="U232" s="184"/>
      <c r="AA232" s="49">
        <f t="shared" si="10"/>
        <v>0</v>
      </c>
      <c r="AB232" s="49">
        <f t="shared" si="11"/>
        <v>0</v>
      </c>
      <c r="AC232" s="131" t="e">
        <f t="shared" si="9"/>
        <v>#N/A</v>
      </c>
    </row>
    <row r="233" spans="2:29" x14ac:dyDescent="0.25">
      <c r="B233" s="127"/>
      <c r="C233" s="183"/>
      <c r="D233" s="128"/>
      <c r="E233" s="128"/>
      <c r="F233" s="128"/>
      <c r="G233" s="175"/>
      <c r="H233" s="175"/>
      <c r="I233" s="140"/>
      <c r="J233" s="175"/>
      <c r="K233" s="140"/>
      <c r="L233" s="175"/>
      <c r="M233" s="140"/>
      <c r="N233" s="175"/>
      <c r="O233" s="140"/>
      <c r="P233" s="128"/>
      <c r="Q233" s="130"/>
      <c r="R233" s="130"/>
      <c r="S233" s="173"/>
      <c r="T233" s="173"/>
      <c r="U233" s="184"/>
      <c r="AA233" s="49">
        <f t="shared" si="10"/>
        <v>0</v>
      </c>
      <c r="AB233" s="49">
        <f t="shared" si="11"/>
        <v>0</v>
      </c>
      <c r="AC233" s="131" t="e">
        <f t="shared" si="9"/>
        <v>#N/A</v>
      </c>
    </row>
    <row r="234" spans="2:29" x14ac:dyDescent="0.25">
      <c r="B234" s="127"/>
      <c r="C234" s="183"/>
      <c r="D234" s="128"/>
      <c r="E234" s="128"/>
      <c r="F234" s="128"/>
      <c r="G234" s="175"/>
      <c r="H234" s="175"/>
      <c r="I234" s="140"/>
      <c r="J234" s="175"/>
      <c r="K234" s="140"/>
      <c r="L234" s="175"/>
      <c r="M234" s="140"/>
      <c r="N234" s="175"/>
      <c r="O234" s="140"/>
      <c r="P234" s="128"/>
      <c r="Q234" s="130"/>
      <c r="R234" s="130"/>
      <c r="S234" s="173"/>
      <c r="T234" s="173"/>
      <c r="U234" s="184"/>
      <c r="AA234" s="49">
        <f t="shared" si="10"/>
        <v>0</v>
      </c>
      <c r="AB234" s="49">
        <f t="shared" si="11"/>
        <v>0</v>
      </c>
      <c r="AC234" s="131" t="e">
        <f t="shared" si="9"/>
        <v>#N/A</v>
      </c>
    </row>
    <row r="235" spans="2:29" x14ac:dyDescent="0.25">
      <c r="B235" s="127"/>
      <c r="C235" s="183"/>
      <c r="D235" s="128"/>
      <c r="E235" s="128"/>
      <c r="F235" s="128"/>
      <c r="G235" s="175"/>
      <c r="H235" s="175"/>
      <c r="I235" s="140"/>
      <c r="J235" s="175"/>
      <c r="K235" s="140"/>
      <c r="L235" s="175"/>
      <c r="M235" s="140"/>
      <c r="N235" s="175"/>
      <c r="O235" s="140"/>
      <c r="P235" s="128"/>
      <c r="Q235" s="130"/>
      <c r="R235" s="130"/>
      <c r="S235" s="173"/>
      <c r="T235" s="173"/>
      <c r="U235" s="184"/>
      <c r="AA235" s="49">
        <f t="shared" si="10"/>
        <v>0</v>
      </c>
      <c r="AB235" s="49">
        <f t="shared" si="11"/>
        <v>0</v>
      </c>
      <c r="AC235" s="131" t="e">
        <f t="shared" si="9"/>
        <v>#N/A</v>
      </c>
    </row>
    <row r="236" spans="2:29" x14ac:dyDescent="0.25">
      <c r="B236" s="127"/>
      <c r="C236" s="183"/>
      <c r="D236" s="128"/>
      <c r="E236" s="128"/>
      <c r="F236" s="128"/>
      <c r="G236" s="175"/>
      <c r="H236" s="175"/>
      <c r="I236" s="140"/>
      <c r="J236" s="175"/>
      <c r="K236" s="140"/>
      <c r="L236" s="175"/>
      <c r="M236" s="140"/>
      <c r="N236" s="175"/>
      <c r="O236" s="140"/>
      <c r="P236" s="128"/>
      <c r="Q236" s="130"/>
      <c r="R236" s="130"/>
      <c r="S236" s="173"/>
      <c r="T236" s="173"/>
      <c r="U236" s="184"/>
      <c r="AA236" s="49">
        <f t="shared" si="10"/>
        <v>0</v>
      </c>
      <c r="AB236" s="49">
        <f t="shared" si="11"/>
        <v>0</v>
      </c>
      <c r="AC236" s="131" t="e">
        <f t="shared" si="9"/>
        <v>#N/A</v>
      </c>
    </row>
    <row r="237" spans="2:29" x14ac:dyDescent="0.25">
      <c r="B237" s="127"/>
      <c r="C237" s="183"/>
      <c r="D237" s="128"/>
      <c r="E237" s="128"/>
      <c r="F237" s="128"/>
      <c r="G237" s="175"/>
      <c r="H237" s="175"/>
      <c r="I237" s="140"/>
      <c r="J237" s="175"/>
      <c r="K237" s="140"/>
      <c r="L237" s="175"/>
      <c r="M237" s="140"/>
      <c r="N237" s="175"/>
      <c r="O237" s="140"/>
      <c r="P237" s="128"/>
      <c r="Q237" s="130"/>
      <c r="R237" s="130"/>
      <c r="S237" s="173"/>
      <c r="T237" s="173"/>
      <c r="U237" s="184"/>
      <c r="AA237" s="49">
        <f t="shared" si="10"/>
        <v>0</v>
      </c>
      <c r="AB237" s="49">
        <f t="shared" si="11"/>
        <v>0</v>
      </c>
      <c r="AC237" s="131" t="e">
        <f t="shared" si="9"/>
        <v>#N/A</v>
      </c>
    </row>
    <row r="238" spans="2:29" x14ac:dyDescent="0.25">
      <c r="B238" s="127"/>
      <c r="C238" s="183"/>
      <c r="D238" s="128"/>
      <c r="E238" s="128"/>
      <c r="F238" s="128"/>
      <c r="G238" s="175"/>
      <c r="H238" s="175"/>
      <c r="I238" s="140"/>
      <c r="J238" s="175"/>
      <c r="K238" s="140"/>
      <c r="L238" s="175"/>
      <c r="M238" s="140"/>
      <c r="N238" s="175"/>
      <c r="O238" s="140"/>
      <c r="P238" s="128"/>
      <c r="Q238" s="130"/>
      <c r="R238" s="130"/>
      <c r="S238" s="173"/>
      <c r="T238" s="173"/>
      <c r="U238" s="184"/>
      <c r="AA238" s="49">
        <f t="shared" si="10"/>
        <v>0</v>
      </c>
      <c r="AB238" s="49">
        <f t="shared" si="11"/>
        <v>0</v>
      </c>
      <c r="AC238" s="131" t="e">
        <f t="shared" si="9"/>
        <v>#N/A</v>
      </c>
    </row>
    <row r="239" spans="2:29" x14ac:dyDescent="0.25">
      <c r="B239" s="127"/>
      <c r="C239" s="183"/>
      <c r="D239" s="128"/>
      <c r="E239" s="128"/>
      <c r="F239" s="128"/>
      <c r="G239" s="175"/>
      <c r="H239" s="175"/>
      <c r="I239" s="140"/>
      <c r="J239" s="175"/>
      <c r="K239" s="140"/>
      <c r="L239" s="175"/>
      <c r="M239" s="140"/>
      <c r="N239" s="175"/>
      <c r="O239" s="140"/>
      <c r="P239" s="128"/>
      <c r="Q239" s="130"/>
      <c r="R239" s="130"/>
      <c r="S239" s="173"/>
      <c r="T239" s="173"/>
      <c r="U239" s="184"/>
      <c r="AA239" s="49">
        <f t="shared" si="10"/>
        <v>0</v>
      </c>
      <c r="AB239" s="49">
        <f t="shared" si="11"/>
        <v>0</v>
      </c>
      <c r="AC239" s="131" t="e">
        <f t="shared" si="9"/>
        <v>#N/A</v>
      </c>
    </row>
    <row r="240" spans="2:29" x14ac:dyDescent="0.25">
      <c r="B240" s="127"/>
      <c r="C240" s="183"/>
      <c r="D240" s="128"/>
      <c r="E240" s="128"/>
      <c r="F240" s="128"/>
      <c r="G240" s="175"/>
      <c r="H240" s="175"/>
      <c r="I240" s="140"/>
      <c r="J240" s="175"/>
      <c r="K240" s="140"/>
      <c r="L240" s="175"/>
      <c r="M240" s="140"/>
      <c r="N240" s="175"/>
      <c r="O240" s="140"/>
      <c r="P240" s="128"/>
      <c r="Q240" s="130"/>
      <c r="R240" s="130"/>
      <c r="S240" s="173"/>
      <c r="T240" s="173"/>
      <c r="U240" s="184"/>
      <c r="AA240" s="49">
        <f t="shared" si="10"/>
        <v>0</v>
      </c>
      <c r="AB240" s="49">
        <f t="shared" si="11"/>
        <v>0</v>
      </c>
      <c r="AC240" s="131" t="e">
        <f t="shared" si="9"/>
        <v>#N/A</v>
      </c>
    </row>
    <row r="241" spans="2:29" x14ac:dyDescent="0.25">
      <c r="B241" s="127"/>
      <c r="C241" s="183"/>
      <c r="D241" s="128"/>
      <c r="E241" s="128"/>
      <c r="F241" s="128"/>
      <c r="G241" s="175"/>
      <c r="H241" s="175"/>
      <c r="I241" s="140"/>
      <c r="J241" s="175"/>
      <c r="K241" s="140"/>
      <c r="L241" s="175"/>
      <c r="M241" s="140"/>
      <c r="N241" s="175"/>
      <c r="O241" s="140"/>
      <c r="P241" s="128"/>
      <c r="Q241" s="130"/>
      <c r="R241" s="130"/>
      <c r="S241" s="173"/>
      <c r="T241" s="173"/>
      <c r="U241" s="184"/>
      <c r="AA241" s="49">
        <f t="shared" si="10"/>
        <v>0</v>
      </c>
      <c r="AB241" s="49">
        <f t="shared" si="11"/>
        <v>0</v>
      </c>
      <c r="AC241" s="131" t="e">
        <f t="shared" si="9"/>
        <v>#N/A</v>
      </c>
    </row>
    <row r="242" spans="2:29" x14ac:dyDescent="0.25">
      <c r="B242" s="127"/>
      <c r="C242" s="183"/>
      <c r="D242" s="128"/>
      <c r="E242" s="128"/>
      <c r="F242" s="128"/>
      <c r="G242" s="175"/>
      <c r="H242" s="175"/>
      <c r="I242" s="140"/>
      <c r="J242" s="175"/>
      <c r="K242" s="140"/>
      <c r="L242" s="175"/>
      <c r="M242" s="140"/>
      <c r="N242" s="175"/>
      <c r="O242" s="140"/>
      <c r="P242" s="128"/>
      <c r="Q242" s="130"/>
      <c r="R242" s="130"/>
      <c r="S242" s="173"/>
      <c r="T242" s="173"/>
      <c r="U242" s="184"/>
      <c r="AA242" s="49">
        <f t="shared" si="10"/>
        <v>0</v>
      </c>
      <c r="AB242" s="49">
        <f t="shared" si="11"/>
        <v>0</v>
      </c>
      <c r="AC242" s="131" t="e">
        <f t="shared" si="9"/>
        <v>#N/A</v>
      </c>
    </row>
    <row r="243" spans="2:29" x14ac:dyDescent="0.25">
      <c r="B243" s="127"/>
      <c r="C243" s="183"/>
      <c r="D243" s="128"/>
      <c r="E243" s="128"/>
      <c r="F243" s="128"/>
      <c r="G243" s="175"/>
      <c r="H243" s="175"/>
      <c r="I243" s="140"/>
      <c r="J243" s="175"/>
      <c r="K243" s="140"/>
      <c r="L243" s="175"/>
      <c r="M243" s="140"/>
      <c r="N243" s="175"/>
      <c r="O243" s="140"/>
      <c r="P243" s="128"/>
      <c r="Q243" s="130"/>
      <c r="R243" s="130"/>
      <c r="S243" s="173"/>
      <c r="T243" s="173"/>
      <c r="U243" s="184"/>
      <c r="AA243" s="49">
        <f t="shared" si="10"/>
        <v>0</v>
      </c>
      <c r="AB243" s="49">
        <f t="shared" si="11"/>
        <v>0</v>
      </c>
      <c r="AC243" s="131" t="e">
        <f t="shared" si="9"/>
        <v>#N/A</v>
      </c>
    </row>
    <row r="244" spans="2:29" x14ac:dyDescent="0.25">
      <c r="B244" s="127"/>
      <c r="C244" s="183"/>
      <c r="D244" s="128"/>
      <c r="E244" s="128"/>
      <c r="F244" s="128"/>
      <c r="G244" s="175"/>
      <c r="H244" s="175"/>
      <c r="I244" s="140"/>
      <c r="J244" s="175"/>
      <c r="K244" s="140"/>
      <c r="L244" s="175"/>
      <c r="M244" s="140"/>
      <c r="N244" s="175"/>
      <c r="O244" s="140"/>
      <c r="P244" s="128"/>
      <c r="Q244" s="130"/>
      <c r="R244" s="130"/>
      <c r="S244" s="173"/>
      <c r="T244" s="173"/>
      <c r="U244" s="184"/>
      <c r="AA244" s="49">
        <f t="shared" si="10"/>
        <v>0</v>
      </c>
      <c r="AB244" s="49">
        <f t="shared" si="11"/>
        <v>0</v>
      </c>
      <c r="AC244" s="131" t="e">
        <f t="shared" si="9"/>
        <v>#N/A</v>
      </c>
    </row>
    <row r="245" spans="2:29" x14ac:dyDescent="0.25">
      <c r="B245" s="127"/>
      <c r="C245" s="183"/>
      <c r="D245" s="128"/>
      <c r="E245" s="128"/>
      <c r="F245" s="128"/>
      <c r="G245" s="175"/>
      <c r="H245" s="175"/>
      <c r="I245" s="140"/>
      <c r="J245" s="175"/>
      <c r="K245" s="140"/>
      <c r="L245" s="175"/>
      <c r="M245" s="140"/>
      <c r="N245" s="175"/>
      <c r="O245" s="140"/>
      <c r="P245" s="128"/>
      <c r="Q245" s="130"/>
      <c r="R245" s="130"/>
      <c r="S245" s="173"/>
      <c r="T245" s="173"/>
      <c r="U245" s="184"/>
      <c r="AA245" s="49">
        <f t="shared" si="10"/>
        <v>0</v>
      </c>
      <c r="AB245" s="49">
        <f t="shared" si="11"/>
        <v>0</v>
      </c>
      <c r="AC245" s="131" t="e">
        <f t="shared" si="9"/>
        <v>#N/A</v>
      </c>
    </row>
    <row r="246" spans="2:29" x14ac:dyDescent="0.25">
      <c r="B246" s="127"/>
      <c r="C246" s="183"/>
      <c r="D246" s="128"/>
      <c r="E246" s="128"/>
      <c r="F246" s="128"/>
      <c r="G246" s="175"/>
      <c r="H246" s="175"/>
      <c r="I246" s="140"/>
      <c r="J246" s="175"/>
      <c r="K246" s="140"/>
      <c r="L246" s="175"/>
      <c r="M246" s="140"/>
      <c r="N246" s="175"/>
      <c r="O246" s="140"/>
      <c r="P246" s="128"/>
      <c r="Q246" s="130"/>
      <c r="R246" s="130"/>
      <c r="S246" s="173"/>
      <c r="T246" s="173"/>
      <c r="U246" s="184"/>
      <c r="AA246" s="49">
        <f t="shared" si="10"/>
        <v>0</v>
      </c>
      <c r="AB246" s="49">
        <f t="shared" si="11"/>
        <v>0</v>
      </c>
      <c r="AC246" s="131" t="e">
        <f t="shared" si="9"/>
        <v>#N/A</v>
      </c>
    </row>
    <row r="247" spans="2:29" x14ac:dyDescent="0.25">
      <c r="B247" s="127"/>
      <c r="C247" s="183"/>
      <c r="D247" s="128"/>
      <c r="E247" s="128"/>
      <c r="F247" s="128"/>
      <c r="G247" s="175"/>
      <c r="H247" s="175"/>
      <c r="I247" s="140"/>
      <c r="J247" s="175"/>
      <c r="K247" s="140"/>
      <c r="L247" s="175"/>
      <c r="M247" s="140"/>
      <c r="N247" s="175"/>
      <c r="O247" s="140"/>
      <c r="P247" s="128"/>
      <c r="Q247" s="130"/>
      <c r="R247" s="130"/>
      <c r="S247" s="173"/>
      <c r="T247" s="173"/>
      <c r="U247" s="184"/>
      <c r="AA247" s="49">
        <f t="shared" si="10"/>
        <v>0</v>
      </c>
      <c r="AB247" s="49">
        <f t="shared" si="11"/>
        <v>0</v>
      </c>
      <c r="AC247" s="131" t="e">
        <f t="shared" si="9"/>
        <v>#N/A</v>
      </c>
    </row>
    <row r="248" spans="2:29" x14ac:dyDescent="0.25">
      <c r="B248" s="127"/>
      <c r="C248" s="183"/>
      <c r="D248" s="128"/>
      <c r="E248" s="128"/>
      <c r="F248" s="128"/>
      <c r="G248" s="175"/>
      <c r="H248" s="175"/>
      <c r="I248" s="140"/>
      <c r="J248" s="175"/>
      <c r="K248" s="140"/>
      <c r="L248" s="175"/>
      <c r="M248" s="140"/>
      <c r="N248" s="175"/>
      <c r="O248" s="140"/>
      <c r="P248" s="128"/>
      <c r="Q248" s="130"/>
      <c r="R248" s="130"/>
      <c r="S248" s="173"/>
      <c r="T248" s="173"/>
      <c r="U248" s="184"/>
      <c r="AA248" s="49">
        <f t="shared" si="10"/>
        <v>0</v>
      </c>
      <c r="AB248" s="49">
        <f t="shared" si="11"/>
        <v>0</v>
      </c>
      <c r="AC248" s="131" t="e">
        <f t="shared" si="9"/>
        <v>#N/A</v>
      </c>
    </row>
    <row r="249" spans="2:29" x14ac:dyDescent="0.25">
      <c r="B249" s="127"/>
      <c r="C249" s="183"/>
      <c r="D249" s="128"/>
      <c r="E249" s="128"/>
      <c r="F249" s="128"/>
      <c r="G249" s="175"/>
      <c r="H249" s="175"/>
      <c r="I249" s="140"/>
      <c r="J249" s="175"/>
      <c r="K249" s="140"/>
      <c r="L249" s="175"/>
      <c r="M249" s="140"/>
      <c r="N249" s="175"/>
      <c r="O249" s="140"/>
      <c r="P249" s="128"/>
      <c r="Q249" s="130"/>
      <c r="R249" s="130"/>
      <c r="S249" s="173"/>
      <c r="T249" s="173"/>
      <c r="U249" s="184"/>
      <c r="AA249" s="49">
        <f t="shared" si="10"/>
        <v>0</v>
      </c>
      <c r="AB249" s="49">
        <f t="shared" si="11"/>
        <v>0</v>
      </c>
      <c r="AC249" s="131" t="e">
        <f t="shared" si="9"/>
        <v>#N/A</v>
      </c>
    </row>
    <row r="250" spans="2:29" x14ac:dyDescent="0.25">
      <c r="B250" s="127"/>
      <c r="C250" s="183"/>
      <c r="D250" s="128"/>
      <c r="E250" s="128"/>
      <c r="F250" s="128"/>
      <c r="G250" s="175"/>
      <c r="H250" s="175"/>
      <c r="I250" s="140"/>
      <c r="J250" s="175"/>
      <c r="K250" s="140"/>
      <c r="L250" s="175"/>
      <c r="M250" s="140"/>
      <c r="N250" s="175"/>
      <c r="O250" s="140"/>
      <c r="P250" s="128"/>
      <c r="Q250" s="130"/>
      <c r="R250" s="130"/>
      <c r="S250" s="173"/>
      <c r="T250" s="173"/>
      <c r="U250" s="184"/>
      <c r="AA250" s="49">
        <f t="shared" si="10"/>
        <v>0</v>
      </c>
      <c r="AB250" s="49">
        <f t="shared" si="11"/>
        <v>0</v>
      </c>
      <c r="AC250" s="131" t="e">
        <f t="shared" si="9"/>
        <v>#N/A</v>
      </c>
    </row>
    <row r="251" spans="2:29" x14ac:dyDescent="0.25">
      <c r="B251" s="127"/>
      <c r="C251" s="183"/>
      <c r="D251" s="128"/>
      <c r="E251" s="128"/>
      <c r="F251" s="128"/>
      <c r="G251" s="175"/>
      <c r="H251" s="175"/>
      <c r="I251" s="140"/>
      <c r="J251" s="175"/>
      <c r="K251" s="140"/>
      <c r="L251" s="175"/>
      <c r="M251" s="140"/>
      <c r="N251" s="175"/>
      <c r="O251" s="140"/>
      <c r="P251" s="128"/>
      <c r="Q251" s="130"/>
      <c r="R251" s="130"/>
      <c r="S251" s="173"/>
      <c r="T251" s="173"/>
      <c r="U251" s="184"/>
      <c r="AA251" s="49">
        <f t="shared" si="10"/>
        <v>0</v>
      </c>
      <c r="AB251" s="49">
        <f t="shared" si="11"/>
        <v>0</v>
      </c>
      <c r="AC251" s="131" t="e">
        <f t="shared" si="9"/>
        <v>#N/A</v>
      </c>
    </row>
    <row r="252" spans="2:29" x14ac:dyDescent="0.25">
      <c r="B252" s="127"/>
      <c r="C252" s="183"/>
      <c r="D252" s="128"/>
      <c r="E252" s="128"/>
      <c r="F252" s="128"/>
      <c r="G252" s="175"/>
      <c r="H252" s="175"/>
      <c r="I252" s="140"/>
      <c r="J252" s="175"/>
      <c r="K252" s="140"/>
      <c r="L252" s="175"/>
      <c r="M252" s="140"/>
      <c r="N252" s="175"/>
      <c r="O252" s="140"/>
      <c r="P252" s="128"/>
      <c r="Q252" s="130"/>
      <c r="R252" s="130"/>
      <c r="S252" s="173"/>
      <c r="T252" s="173"/>
      <c r="U252" s="184"/>
      <c r="AA252" s="49">
        <f t="shared" si="10"/>
        <v>0</v>
      </c>
      <c r="AB252" s="49">
        <f t="shared" si="11"/>
        <v>0</v>
      </c>
      <c r="AC252" s="131" t="e">
        <f t="shared" si="9"/>
        <v>#N/A</v>
      </c>
    </row>
    <row r="253" spans="2:29" x14ac:dyDescent="0.25">
      <c r="B253" s="127"/>
      <c r="C253" s="183"/>
      <c r="D253" s="128"/>
      <c r="E253" s="128"/>
      <c r="F253" s="128"/>
      <c r="G253" s="175"/>
      <c r="H253" s="175"/>
      <c r="I253" s="140"/>
      <c r="J253" s="175"/>
      <c r="K253" s="140"/>
      <c r="L253" s="175"/>
      <c r="M253" s="140"/>
      <c r="N253" s="175"/>
      <c r="O253" s="140"/>
      <c r="P253" s="128"/>
      <c r="Q253" s="130"/>
      <c r="R253" s="130"/>
      <c r="S253" s="173"/>
      <c r="T253" s="173"/>
      <c r="U253" s="184"/>
      <c r="AA253" s="49">
        <f t="shared" si="10"/>
        <v>0</v>
      </c>
      <c r="AB253" s="49">
        <f t="shared" si="11"/>
        <v>0</v>
      </c>
      <c r="AC253" s="131" t="e">
        <f t="shared" si="9"/>
        <v>#N/A</v>
      </c>
    </row>
    <row r="254" spans="2:29" x14ac:dyDescent="0.25">
      <c r="B254" s="127"/>
      <c r="C254" s="183"/>
      <c r="D254" s="128"/>
      <c r="E254" s="128"/>
      <c r="F254" s="128"/>
      <c r="G254" s="175"/>
      <c r="H254" s="175"/>
      <c r="I254" s="140"/>
      <c r="J254" s="175"/>
      <c r="K254" s="140"/>
      <c r="L254" s="175"/>
      <c r="M254" s="140"/>
      <c r="N254" s="175"/>
      <c r="O254" s="140"/>
      <c r="P254" s="128"/>
      <c r="Q254" s="130"/>
      <c r="R254" s="130"/>
      <c r="S254" s="173"/>
      <c r="T254" s="173"/>
      <c r="U254" s="184"/>
      <c r="AA254" s="49">
        <f t="shared" si="10"/>
        <v>0</v>
      </c>
      <c r="AB254" s="49">
        <f t="shared" si="11"/>
        <v>0</v>
      </c>
      <c r="AC254" s="131" t="e">
        <f t="shared" si="9"/>
        <v>#N/A</v>
      </c>
    </row>
    <row r="255" spans="2:29" x14ac:dyDescent="0.25">
      <c r="B255" s="127"/>
      <c r="C255" s="183"/>
      <c r="D255" s="128"/>
      <c r="E255" s="128"/>
      <c r="F255" s="128"/>
      <c r="G255" s="175"/>
      <c r="H255" s="175"/>
      <c r="I255" s="140"/>
      <c r="J255" s="175"/>
      <c r="K255" s="140"/>
      <c r="L255" s="175"/>
      <c r="M255" s="140"/>
      <c r="N255" s="175"/>
      <c r="O255" s="140"/>
      <c r="P255" s="128"/>
      <c r="Q255" s="130"/>
      <c r="R255" s="130"/>
      <c r="S255" s="173"/>
      <c r="T255" s="173"/>
      <c r="U255" s="184"/>
      <c r="AA255" s="49">
        <f t="shared" si="10"/>
        <v>0</v>
      </c>
      <c r="AB255" s="49">
        <f t="shared" si="11"/>
        <v>0</v>
      </c>
      <c r="AC255" s="131" t="e">
        <f t="shared" si="9"/>
        <v>#N/A</v>
      </c>
    </row>
    <row r="256" spans="2:29" x14ac:dyDescent="0.25">
      <c r="B256" s="127"/>
      <c r="C256" s="183"/>
      <c r="D256" s="128"/>
      <c r="E256" s="128"/>
      <c r="F256" s="128"/>
      <c r="G256" s="175"/>
      <c r="H256" s="175"/>
      <c r="I256" s="140"/>
      <c r="J256" s="175"/>
      <c r="K256" s="140"/>
      <c r="L256" s="175"/>
      <c r="M256" s="140"/>
      <c r="N256" s="175"/>
      <c r="O256" s="140"/>
      <c r="P256" s="128"/>
      <c r="Q256" s="130"/>
      <c r="R256" s="130"/>
      <c r="S256" s="173"/>
      <c r="T256" s="173"/>
      <c r="U256" s="184"/>
      <c r="AA256" s="49">
        <f t="shared" si="10"/>
        <v>0</v>
      </c>
      <c r="AB256" s="49">
        <f t="shared" si="11"/>
        <v>0</v>
      </c>
      <c r="AC256" s="131" t="e">
        <f t="shared" si="9"/>
        <v>#N/A</v>
      </c>
    </row>
    <row r="257" spans="2:29" x14ac:dyDescent="0.25">
      <c r="B257" s="127"/>
      <c r="C257" s="183"/>
      <c r="D257" s="128"/>
      <c r="E257" s="128"/>
      <c r="F257" s="128"/>
      <c r="G257" s="175"/>
      <c r="H257" s="175"/>
      <c r="I257" s="140"/>
      <c r="J257" s="175"/>
      <c r="K257" s="140"/>
      <c r="L257" s="175"/>
      <c r="M257" s="140"/>
      <c r="N257" s="175"/>
      <c r="O257" s="140"/>
      <c r="P257" s="128"/>
      <c r="Q257" s="130"/>
      <c r="R257" s="130"/>
      <c r="S257" s="173"/>
      <c r="T257" s="173"/>
      <c r="U257" s="184"/>
      <c r="AA257" s="49">
        <f t="shared" si="10"/>
        <v>0</v>
      </c>
      <c r="AB257" s="49">
        <f t="shared" si="11"/>
        <v>0</v>
      </c>
      <c r="AC257" s="131" t="e">
        <f t="shared" si="9"/>
        <v>#N/A</v>
      </c>
    </row>
    <row r="258" spans="2:29" x14ac:dyDescent="0.25">
      <c r="B258" s="127"/>
      <c r="C258" s="183"/>
      <c r="D258" s="128"/>
      <c r="E258" s="128"/>
      <c r="F258" s="128"/>
      <c r="G258" s="175"/>
      <c r="H258" s="175"/>
      <c r="I258" s="140"/>
      <c r="J258" s="175"/>
      <c r="K258" s="140"/>
      <c r="L258" s="175"/>
      <c r="M258" s="140"/>
      <c r="N258" s="175"/>
      <c r="O258" s="140"/>
      <c r="P258" s="128"/>
      <c r="Q258" s="130"/>
      <c r="R258" s="130"/>
      <c r="S258" s="173"/>
      <c r="T258" s="173"/>
      <c r="U258" s="184"/>
      <c r="AA258" s="49">
        <f t="shared" si="10"/>
        <v>0</v>
      </c>
      <c r="AB258" s="49">
        <f t="shared" si="11"/>
        <v>0</v>
      </c>
      <c r="AC258" s="131" t="e">
        <f t="shared" si="9"/>
        <v>#N/A</v>
      </c>
    </row>
    <row r="259" spans="2:29" x14ac:dyDescent="0.25">
      <c r="B259" s="127"/>
      <c r="C259" s="183"/>
      <c r="D259" s="128"/>
      <c r="E259" s="128"/>
      <c r="F259" s="128"/>
      <c r="G259" s="175"/>
      <c r="H259" s="175"/>
      <c r="I259" s="140"/>
      <c r="J259" s="175"/>
      <c r="K259" s="140"/>
      <c r="L259" s="175"/>
      <c r="M259" s="140"/>
      <c r="N259" s="175"/>
      <c r="O259" s="140"/>
      <c r="P259" s="128"/>
      <c r="Q259" s="130"/>
      <c r="R259" s="130"/>
      <c r="S259" s="173"/>
      <c r="T259" s="173"/>
      <c r="U259" s="184"/>
      <c r="AA259" s="49">
        <f t="shared" si="10"/>
        <v>0</v>
      </c>
      <c r="AB259" s="49">
        <f t="shared" si="11"/>
        <v>0</v>
      </c>
      <c r="AC259" s="131" t="e">
        <f t="shared" si="9"/>
        <v>#N/A</v>
      </c>
    </row>
    <row r="260" spans="2:29" x14ac:dyDescent="0.25">
      <c r="B260" s="127"/>
      <c r="C260" s="183"/>
      <c r="D260" s="128"/>
      <c r="E260" s="128"/>
      <c r="F260" s="128"/>
      <c r="G260" s="175"/>
      <c r="H260" s="175"/>
      <c r="I260" s="140"/>
      <c r="J260" s="175"/>
      <c r="K260" s="140"/>
      <c r="L260" s="175"/>
      <c r="M260" s="140"/>
      <c r="N260" s="175"/>
      <c r="O260" s="140"/>
      <c r="P260" s="128"/>
      <c r="Q260" s="130"/>
      <c r="R260" s="130"/>
      <c r="S260" s="173"/>
      <c r="T260" s="173"/>
      <c r="U260" s="184"/>
      <c r="AA260" s="49">
        <f t="shared" si="10"/>
        <v>0</v>
      </c>
      <c r="AB260" s="49">
        <f t="shared" si="11"/>
        <v>0</v>
      </c>
      <c r="AC260" s="131" t="e">
        <f t="shared" si="9"/>
        <v>#N/A</v>
      </c>
    </row>
    <row r="261" spans="2:29" x14ac:dyDescent="0.25">
      <c r="B261" s="127"/>
      <c r="C261" s="183"/>
      <c r="D261" s="128"/>
      <c r="E261" s="128"/>
      <c r="F261" s="128"/>
      <c r="G261" s="175"/>
      <c r="H261" s="175"/>
      <c r="I261" s="140"/>
      <c r="J261" s="175"/>
      <c r="K261" s="140"/>
      <c r="L261" s="175"/>
      <c r="M261" s="140"/>
      <c r="N261" s="175"/>
      <c r="O261" s="140"/>
      <c r="P261" s="128"/>
      <c r="Q261" s="130"/>
      <c r="R261" s="130"/>
      <c r="S261" s="173"/>
      <c r="T261" s="173"/>
      <c r="U261" s="184"/>
      <c r="AA261" s="49">
        <f t="shared" si="10"/>
        <v>0</v>
      </c>
      <c r="AB261" s="49">
        <f t="shared" si="11"/>
        <v>0</v>
      </c>
      <c r="AC261" s="131" t="e">
        <f t="shared" si="9"/>
        <v>#N/A</v>
      </c>
    </row>
    <row r="262" spans="2:29" x14ac:dyDescent="0.25">
      <c r="B262" s="127"/>
      <c r="C262" s="183"/>
      <c r="D262" s="128"/>
      <c r="E262" s="128"/>
      <c r="F262" s="128"/>
      <c r="G262" s="175"/>
      <c r="H262" s="175"/>
      <c r="I262" s="140"/>
      <c r="J262" s="175"/>
      <c r="K262" s="140"/>
      <c r="L262" s="175"/>
      <c r="M262" s="140"/>
      <c r="N262" s="175"/>
      <c r="O262" s="140"/>
      <c r="P262" s="128"/>
      <c r="Q262" s="130"/>
      <c r="R262" s="130"/>
      <c r="S262" s="173"/>
      <c r="T262" s="173"/>
      <c r="U262" s="184"/>
      <c r="AA262" s="49">
        <f t="shared" si="10"/>
        <v>0</v>
      </c>
      <c r="AB262" s="49">
        <f t="shared" si="11"/>
        <v>0</v>
      </c>
      <c r="AC262" s="131" t="e">
        <f t="shared" si="9"/>
        <v>#N/A</v>
      </c>
    </row>
    <row r="263" spans="2:29" x14ac:dyDescent="0.25">
      <c r="B263" s="127"/>
      <c r="C263" s="183"/>
      <c r="D263" s="128"/>
      <c r="E263" s="128"/>
      <c r="F263" s="128"/>
      <c r="G263" s="175"/>
      <c r="H263" s="175"/>
      <c r="I263" s="140"/>
      <c r="J263" s="175"/>
      <c r="K263" s="140"/>
      <c r="L263" s="175"/>
      <c r="M263" s="140"/>
      <c r="N263" s="175"/>
      <c r="O263" s="140"/>
      <c r="P263" s="128"/>
      <c r="Q263" s="130"/>
      <c r="R263" s="130"/>
      <c r="S263" s="173"/>
      <c r="T263" s="173"/>
      <c r="U263" s="184"/>
      <c r="AA263" s="49">
        <f t="shared" si="10"/>
        <v>0</v>
      </c>
      <c r="AB263" s="49">
        <f t="shared" si="11"/>
        <v>0</v>
      </c>
      <c r="AC263" s="131" t="e">
        <f t="shared" si="9"/>
        <v>#N/A</v>
      </c>
    </row>
    <row r="264" spans="2:29" x14ac:dyDescent="0.25">
      <c r="B264" s="127"/>
      <c r="C264" s="183"/>
      <c r="D264" s="128"/>
      <c r="E264" s="128"/>
      <c r="F264" s="128"/>
      <c r="G264" s="175"/>
      <c r="H264" s="175"/>
      <c r="I264" s="140"/>
      <c r="J264" s="175"/>
      <c r="K264" s="140"/>
      <c r="L264" s="175"/>
      <c r="M264" s="140"/>
      <c r="N264" s="175"/>
      <c r="O264" s="140"/>
      <c r="P264" s="128"/>
      <c r="Q264" s="130"/>
      <c r="R264" s="130"/>
      <c r="S264" s="173"/>
      <c r="T264" s="173"/>
      <c r="U264" s="184"/>
      <c r="AA264" s="49">
        <f t="shared" si="10"/>
        <v>0</v>
      </c>
      <c r="AB264" s="49">
        <f t="shared" si="11"/>
        <v>0</v>
      </c>
      <c r="AC264" s="131" t="e">
        <f t="shared" si="9"/>
        <v>#N/A</v>
      </c>
    </row>
    <row r="265" spans="2:29" x14ac:dyDescent="0.25">
      <c r="B265" s="127"/>
      <c r="C265" s="183"/>
      <c r="D265" s="128"/>
      <c r="E265" s="128"/>
      <c r="F265" s="128"/>
      <c r="G265" s="175"/>
      <c r="H265" s="175"/>
      <c r="I265" s="140"/>
      <c r="J265" s="175"/>
      <c r="K265" s="140"/>
      <c r="L265" s="175"/>
      <c r="M265" s="140"/>
      <c r="N265" s="175"/>
      <c r="O265" s="140"/>
      <c r="P265" s="128"/>
      <c r="Q265" s="130"/>
      <c r="R265" s="130"/>
      <c r="S265" s="173"/>
      <c r="T265" s="173"/>
      <c r="U265" s="184"/>
      <c r="AA265" s="49">
        <f t="shared" si="10"/>
        <v>0</v>
      </c>
      <c r="AB265" s="49">
        <f t="shared" si="11"/>
        <v>0</v>
      </c>
      <c r="AC265" s="131" t="e">
        <f t="shared" si="9"/>
        <v>#N/A</v>
      </c>
    </row>
    <row r="266" spans="2:29" x14ac:dyDescent="0.25">
      <c r="B266" s="127"/>
      <c r="C266" s="183"/>
      <c r="D266" s="128"/>
      <c r="E266" s="128"/>
      <c r="F266" s="128"/>
      <c r="G266" s="175"/>
      <c r="H266" s="175"/>
      <c r="I266" s="140"/>
      <c r="J266" s="175"/>
      <c r="K266" s="140"/>
      <c r="L266" s="175"/>
      <c r="M266" s="140"/>
      <c r="N266" s="175"/>
      <c r="O266" s="140"/>
      <c r="P266" s="128"/>
      <c r="Q266" s="130"/>
      <c r="R266" s="130"/>
      <c r="S266" s="173"/>
      <c r="T266" s="173"/>
      <c r="U266" s="184"/>
      <c r="AA266" s="49">
        <f t="shared" si="10"/>
        <v>0</v>
      </c>
      <c r="AB266" s="49">
        <f t="shared" si="11"/>
        <v>0</v>
      </c>
      <c r="AC266" s="131" t="e">
        <f t="shared" si="9"/>
        <v>#N/A</v>
      </c>
    </row>
    <row r="267" spans="2:29" x14ac:dyDescent="0.25">
      <c r="B267" s="127"/>
      <c r="C267" s="183"/>
      <c r="D267" s="128"/>
      <c r="E267" s="128"/>
      <c r="F267" s="128"/>
      <c r="G267" s="175"/>
      <c r="H267" s="175"/>
      <c r="I267" s="140"/>
      <c r="J267" s="175"/>
      <c r="K267" s="140"/>
      <c r="L267" s="175"/>
      <c r="M267" s="140"/>
      <c r="N267" s="175"/>
      <c r="O267" s="140"/>
      <c r="P267" s="128"/>
      <c r="Q267" s="130"/>
      <c r="R267" s="130"/>
      <c r="S267" s="173"/>
      <c r="T267" s="173"/>
      <c r="U267" s="184"/>
      <c r="AA267" s="49">
        <f t="shared" si="10"/>
        <v>0</v>
      </c>
      <c r="AB267" s="49">
        <f t="shared" si="11"/>
        <v>0</v>
      </c>
      <c r="AC267" s="131" t="e">
        <f t="shared" si="9"/>
        <v>#N/A</v>
      </c>
    </row>
    <row r="268" spans="2:29" x14ac:dyDescent="0.25">
      <c r="B268" s="127"/>
      <c r="C268" s="183"/>
      <c r="D268" s="128"/>
      <c r="E268" s="128"/>
      <c r="F268" s="128"/>
      <c r="G268" s="175"/>
      <c r="H268" s="175"/>
      <c r="I268" s="140"/>
      <c r="J268" s="175"/>
      <c r="K268" s="140"/>
      <c r="L268" s="175"/>
      <c r="M268" s="140"/>
      <c r="N268" s="175"/>
      <c r="O268" s="140"/>
      <c r="P268" s="128"/>
      <c r="Q268" s="130"/>
      <c r="R268" s="130"/>
      <c r="S268" s="173"/>
      <c r="T268" s="173"/>
      <c r="U268" s="184"/>
      <c r="AA268" s="49">
        <f t="shared" si="10"/>
        <v>0</v>
      </c>
      <c r="AB268" s="49">
        <f t="shared" si="11"/>
        <v>0</v>
      </c>
      <c r="AC268" s="131" t="e">
        <f t="shared" si="9"/>
        <v>#N/A</v>
      </c>
    </row>
    <row r="269" spans="2:29" x14ac:dyDescent="0.25">
      <c r="B269" s="127"/>
      <c r="C269" s="183"/>
      <c r="D269" s="128"/>
      <c r="E269" s="128"/>
      <c r="F269" s="128"/>
      <c r="G269" s="175"/>
      <c r="H269" s="175"/>
      <c r="I269" s="140"/>
      <c r="J269" s="175"/>
      <c r="K269" s="140"/>
      <c r="L269" s="175"/>
      <c r="M269" s="140"/>
      <c r="N269" s="175"/>
      <c r="O269" s="140"/>
      <c r="P269" s="128"/>
      <c r="Q269" s="130"/>
      <c r="R269" s="130"/>
      <c r="S269" s="173"/>
      <c r="T269" s="173"/>
      <c r="U269" s="184"/>
      <c r="AA269" s="49">
        <f t="shared" si="10"/>
        <v>0</v>
      </c>
      <c r="AB269" s="49">
        <f t="shared" si="11"/>
        <v>0</v>
      </c>
      <c r="AC269" s="131" t="e">
        <f t="shared" si="9"/>
        <v>#N/A</v>
      </c>
    </row>
    <row r="270" spans="2:29" x14ac:dyDescent="0.25">
      <c r="B270" s="127"/>
      <c r="C270" s="183"/>
      <c r="D270" s="128"/>
      <c r="E270" s="128"/>
      <c r="F270" s="128"/>
      <c r="G270" s="175"/>
      <c r="H270" s="175"/>
      <c r="I270" s="140"/>
      <c r="J270" s="175"/>
      <c r="K270" s="140"/>
      <c r="L270" s="175"/>
      <c r="M270" s="140"/>
      <c r="N270" s="175"/>
      <c r="O270" s="140"/>
      <c r="P270" s="128"/>
      <c r="Q270" s="130"/>
      <c r="R270" s="130"/>
      <c r="S270" s="173"/>
      <c r="T270" s="173"/>
      <c r="U270" s="184"/>
      <c r="AA270" s="49">
        <f t="shared" si="10"/>
        <v>0</v>
      </c>
      <c r="AB270" s="49">
        <f t="shared" si="11"/>
        <v>0</v>
      </c>
      <c r="AC270" s="131" t="e">
        <f t="shared" si="9"/>
        <v>#N/A</v>
      </c>
    </row>
    <row r="271" spans="2:29" x14ac:dyDescent="0.25">
      <c r="B271" s="127"/>
      <c r="C271" s="183"/>
      <c r="D271" s="128"/>
      <c r="E271" s="128"/>
      <c r="F271" s="128"/>
      <c r="G271" s="175"/>
      <c r="H271" s="175"/>
      <c r="I271" s="140"/>
      <c r="J271" s="175"/>
      <c r="K271" s="140"/>
      <c r="L271" s="175"/>
      <c r="M271" s="140"/>
      <c r="N271" s="175"/>
      <c r="O271" s="140"/>
      <c r="P271" s="128"/>
      <c r="Q271" s="130"/>
      <c r="R271" s="130"/>
      <c r="S271" s="173"/>
      <c r="T271" s="173"/>
      <c r="U271" s="184"/>
      <c r="AA271" s="49">
        <f t="shared" si="10"/>
        <v>0</v>
      </c>
      <c r="AB271" s="49">
        <f t="shared" si="11"/>
        <v>0</v>
      </c>
      <c r="AC271" s="131" t="e">
        <f t="shared" si="9"/>
        <v>#N/A</v>
      </c>
    </row>
    <row r="272" spans="2:29" x14ac:dyDescent="0.25">
      <c r="B272" s="127"/>
      <c r="C272" s="183"/>
      <c r="D272" s="128"/>
      <c r="E272" s="128"/>
      <c r="F272" s="128"/>
      <c r="G272" s="175"/>
      <c r="H272" s="175"/>
      <c r="I272" s="140"/>
      <c r="J272" s="175"/>
      <c r="K272" s="140"/>
      <c r="L272" s="175"/>
      <c r="M272" s="140"/>
      <c r="N272" s="175"/>
      <c r="O272" s="140"/>
      <c r="P272" s="128"/>
      <c r="Q272" s="130"/>
      <c r="R272" s="130"/>
      <c r="S272" s="173"/>
      <c r="T272" s="173"/>
      <c r="U272" s="184"/>
      <c r="AA272" s="49">
        <f t="shared" si="10"/>
        <v>0</v>
      </c>
      <c r="AB272" s="49">
        <f t="shared" si="11"/>
        <v>0</v>
      </c>
      <c r="AC272" s="131" t="e">
        <f t="shared" ref="AC272:AC335" si="12">VLOOKUP(C272,ChamberType,2,FALSE)</f>
        <v>#N/A</v>
      </c>
    </row>
    <row r="273" spans="2:29" x14ac:dyDescent="0.25">
      <c r="B273" s="127"/>
      <c r="C273" s="183"/>
      <c r="D273" s="128"/>
      <c r="E273" s="128"/>
      <c r="F273" s="128"/>
      <c r="G273" s="175"/>
      <c r="H273" s="175"/>
      <c r="I273" s="140"/>
      <c r="J273" s="175"/>
      <c r="K273" s="140"/>
      <c r="L273" s="175"/>
      <c r="M273" s="140"/>
      <c r="N273" s="175"/>
      <c r="O273" s="140"/>
      <c r="P273" s="128"/>
      <c r="Q273" s="130"/>
      <c r="R273" s="130"/>
      <c r="S273" s="173"/>
      <c r="T273" s="173"/>
      <c r="U273" s="184"/>
      <c r="AA273" s="49">
        <f t="shared" ref="AA273:AA336" si="13">D273+J273/6</f>
        <v>0</v>
      </c>
      <c r="AB273" s="49">
        <f t="shared" ref="AB273:AB336" si="14">D273+(J273+N273)/12</f>
        <v>0</v>
      </c>
      <c r="AC273" s="131" t="e">
        <f t="shared" si="12"/>
        <v>#N/A</v>
      </c>
    </row>
    <row r="274" spans="2:29" x14ac:dyDescent="0.25">
      <c r="B274" s="127"/>
      <c r="C274" s="183"/>
      <c r="D274" s="128"/>
      <c r="E274" s="128"/>
      <c r="F274" s="128"/>
      <c r="G274" s="175"/>
      <c r="H274" s="175"/>
      <c r="I274" s="140"/>
      <c r="J274" s="175"/>
      <c r="K274" s="140"/>
      <c r="L274" s="175"/>
      <c r="M274" s="140"/>
      <c r="N274" s="175"/>
      <c r="O274" s="140"/>
      <c r="P274" s="128"/>
      <c r="Q274" s="130"/>
      <c r="R274" s="130"/>
      <c r="S274" s="173"/>
      <c r="T274" s="173"/>
      <c r="U274" s="184"/>
      <c r="AA274" s="49">
        <f t="shared" si="13"/>
        <v>0</v>
      </c>
      <c r="AB274" s="49">
        <f t="shared" si="14"/>
        <v>0</v>
      </c>
      <c r="AC274" s="131" t="e">
        <f t="shared" si="12"/>
        <v>#N/A</v>
      </c>
    </row>
    <row r="275" spans="2:29" x14ac:dyDescent="0.25">
      <c r="B275" s="127"/>
      <c r="C275" s="183"/>
      <c r="D275" s="128"/>
      <c r="E275" s="128"/>
      <c r="F275" s="128"/>
      <c r="G275" s="175"/>
      <c r="H275" s="175"/>
      <c r="I275" s="140"/>
      <c r="J275" s="175"/>
      <c r="K275" s="140"/>
      <c r="L275" s="175"/>
      <c r="M275" s="140"/>
      <c r="N275" s="175"/>
      <c r="O275" s="140"/>
      <c r="P275" s="128"/>
      <c r="Q275" s="130"/>
      <c r="R275" s="130"/>
      <c r="S275" s="173"/>
      <c r="T275" s="173"/>
      <c r="U275" s="184"/>
      <c r="AA275" s="49">
        <f t="shared" si="13"/>
        <v>0</v>
      </c>
      <c r="AB275" s="49">
        <f t="shared" si="14"/>
        <v>0</v>
      </c>
      <c r="AC275" s="131" t="e">
        <f t="shared" si="12"/>
        <v>#N/A</v>
      </c>
    </row>
    <row r="276" spans="2:29" x14ac:dyDescent="0.25">
      <c r="B276" s="127"/>
      <c r="C276" s="183"/>
      <c r="D276" s="128"/>
      <c r="E276" s="128"/>
      <c r="F276" s="128"/>
      <c r="G276" s="175"/>
      <c r="H276" s="175"/>
      <c r="I276" s="140"/>
      <c r="J276" s="175"/>
      <c r="K276" s="140"/>
      <c r="L276" s="175"/>
      <c r="M276" s="140"/>
      <c r="N276" s="175"/>
      <c r="O276" s="140"/>
      <c r="P276" s="128"/>
      <c r="Q276" s="130"/>
      <c r="R276" s="130"/>
      <c r="S276" s="173"/>
      <c r="T276" s="173"/>
      <c r="U276" s="184"/>
      <c r="AA276" s="49">
        <f t="shared" si="13"/>
        <v>0</v>
      </c>
      <c r="AB276" s="49">
        <f t="shared" si="14"/>
        <v>0</v>
      </c>
      <c r="AC276" s="131" t="e">
        <f t="shared" si="12"/>
        <v>#N/A</v>
      </c>
    </row>
    <row r="277" spans="2:29" x14ac:dyDescent="0.25">
      <c r="B277" s="127"/>
      <c r="C277" s="183"/>
      <c r="D277" s="128"/>
      <c r="E277" s="128"/>
      <c r="F277" s="128"/>
      <c r="G277" s="175"/>
      <c r="H277" s="175"/>
      <c r="I277" s="140"/>
      <c r="J277" s="175"/>
      <c r="K277" s="140"/>
      <c r="L277" s="175"/>
      <c r="M277" s="140"/>
      <c r="N277" s="175"/>
      <c r="O277" s="140"/>
      <c r="P277" s="128"/>
      <c r="Q277" s="130"/>
      <c r="R277" s="130"/>
      <c r="S277" s="173"/>
      <c r="T277" s="173"/>
      <c r="U277" s="184"/>
      <c r="AA277" s="49">
        <f t="shared" si="13"/>
        <v>0</v>
      </c>
      <c r="AB277" s="49">
        <f t="shared" si="14"/>
        <v>0</v>
      </c>
      <c r="AC277" s="131" t="e">
        <f t="shared" si="12"/>
        <v>#N/A</v>
      </c>
    </row>
    <row r="278" spans="2:29" x14ac:dyDescent="0.25">
      <c r="B278" s="127"/>
      <c r="C278" s="183"/>
      <c r="D278" s="128"/>
      <c r="E278" s="128"/>
      <c r="F278" s="128"/>
      <c r="G278" s="175"/>
      <c r="H278" s="175"/>
      <c r="I278" s="140"/>
      <c r="J278" s="175"/>
      <c r="K278" s="140"/>
      <c r="L278" s="175"/>
      <c r="M278" s="140"/>
      <c r="N278" s="175"/>
      <c r="O278" s="140"/>
      <c r="P278" s="128"/>
      <c r="Q278" s="130"/>
      <c r="R278" s="130"/>
      <c r="S278" s="173"/>
      <c r="T278" s="173"/>
      <c r="U278" s="184"/>
      <c r="AA278" s="49">
        <f t="shared" si="13"/>
        <v>0</v>
      </c>
      <c r="AB278" s="49">
        <f t="shared" si="14"/>
        <v>0</v>
      </c>
      <c r="AC278" s="131" t="e">
        <f t="shared" si="12"/>
        <v>#N/A</v>
      </c>
    </row>
    <row r="279" spans="2:29" x14ac:dyDescent="0.25">
      <c r="B279" s="127"/>
      <c r="C279" s="183"/>
      <c r="D279" s="128"/>
      <c r="E279" s="128"/>
      <c r="F279" s="128"/>
      <c r="G279" s="175"/>
      <c r="H279" s="175"/>
      <c r="I279" s="140"/>
      <c r="J279" s="175"/>
      <c r="K279" s="140"/>
      <c r="L279" s="175"/>
      <c r="M279" s="140"/>
      <c r="N279" s="175"/>
      <c r="O279" s="140"/>
      <c r="P279" s="128"/>
      <c r="Q279" s="130"/>
      <c r="R279" s="130"/>
      <c r="S279" s="173"/>
      <c r="T279" s="173"/>
      <c r="U279" s="184"/>
      <c r="AA279" s="49">
        <f t="shared" si="13"/>
        <v>0</v>
      </c>
      <c r="AB279" s="49">
        <f t="shared" si="14"/>
        <v>0</v>
      </c>
      <c r="AC279" s="131" t="e">
        <f t="shared" si="12"/>
        <v>#N/A</v>
      </c>
    </row>
    <row r="280" spans="2:29" x14ac:dyDescent="0.25">
      <c r="B280" s="127"/>
      <c r="C280" s="183"/>
      <c r="D280" s="128"/>
      <c r="E280" s="128"/>
      <c r="F280" s="128"/>
      <c r="G280" s="175"/>
      <c r="H280" s="175"/>
      <c r="I280" s="140"/>
      <c r="J280" s="175"/>
      <c r="K280" s="140"/>
      <c r="L280" s="175"/>
      <c r="M280" s="140"/>
      <c r="N280" s="175"/>
      <c r="O280" s="140"/>
      <c r="P280" s="128"/>
      <c r="Q280" s="130"/>
      <c r="R280" s="130"/>
      <c r="S280" s="173"/>
      <c r="T280" s="173"/>
      <c r="U280" s="184"/>
      <c r="AA280" s="49">
        <f t="shared" si="13"/>
        <v>0</v>
      </c>
      <c r="AB280" s="49">
        <f t="shared" si="14"/>
        <v>0</v>
      </c>
      <c r="AC280" s="131" t="e">
        <f t="shared" si="12"/>
        <v>#N/A</v>
      </c>
    </row>
    <row r="281" spans="2:29" x14ac:dyDescent="0.25">
      <c r="B281" s="127"/>
      <c r="C281" s="183"/>
      <c r="D281" s="128"/>
      <c r="E281" s="128"/>
      <c r="F281" s="128"/>
      <c r="G281" s="175"/>
      <c r="H281" s="175"/>
      <c r="I281" s="140"/>
      <c r="J281" s="175"/>
      <c r="K281" s="140"/>
      <c r="L281" s="175"/>
      <c r="M281" s="140"/>
      <c r="N281" s="175"/>
      <c r="O281" s="140"/>
      <c r="P281" s="128"/>
      <c r="Q281" s="130"/>
      <c r="R281" s="130"/>
      <c r="S281" s="173"/>
      <c r="T281" s="173"/>
      <c r="U281" s="184"/>
      <c r="AA281" s="49">
        <f t="shared" si="13"/>
        <v>0</v>
      </c>
      <c r="AB281" s="49">
        <f t="shared" si="14"/>
        <v>0</v>
      </c>
      <c r="AC281" s="131" t="e">
        <f t="shared" si="12"/>
        <v>#N/A</v>
      </c>
    </row>
    <row r="282" spans="2:29" x14ac:dyDescent="0.25">
      <c r="B282" s="127"/>
      <c r="C282" s="183"/>
      <c r="D282" s="128"/>
      <c r="E282" s="128"/>
      <c r="F282" s="128"/>
      <c r="G282" s="175"/>
      <c r="H282" s="175"/>
      <c r="I282" s="140"/>
      <c r="J282" s="175"/>
      <c r="K282" s="140"/>
      <c r="L282" s="175"/>
      <c r="M282" s="140"/>
      <c r="N282" s="175"/>
      <c r="O282" s="140"/>
      <c r="P282" s="128"/>
      <c r="Q282" s="130"/>
      <c r="R282" s="130"/>
      <c r="S282" s="173"/>
      <c r="T282" s="173"/>
      <c r="U282" s="184"/>
      <c r="AA282" s="49">
        <f t="shared" si="13"/>
        <v>0</v>
      </c>
      <c r="AB282" s="49">
        <f t="shared" si="14"/>
        <v>0</v>
      </c>
      <c r="AC282" s="131" t="e">
        <f t="shared" si="12"/>
        <v>#N/A</v>
      </c>
    </row>
    <row r="283" spans="2:29" x14ac:dyDescent="0.25">
      <c r="B283" s="127"/>
      <c r="C283" s="183"/>
      <c r="D283" s="128"/>
      <c r="E283" s="128"/>
      <c r="F283" s="128"/>
      <c r="G283" s="175"/>
      <c r="H283" s="175"/>
      <c r="I283" s="140"/>
      <c r="J283" s="175"/>
      <c r="K283" s="140"/>
      <c r="L283" s="175"/>
      <c r="M283" s="140"/>
      <c r="N283" s="175"/>
      <c r="O283" s="140"/>
      <c r="P283" s="128"/>
      <c r="Q283" s="130"/>
      <c r="R283" s="130"/>
      <c r="S283" s="173"/>
      <c r="T283" s="173"/>
      <c r="U283" s="184"/>
      <c r="AA283" s="49">
        <f t="shared" si="13"/>
        <v>0</v>
      </c>
      <c r="AB283" s="49">
        <f t="shared" si="14"/>
        <v>0</v>
      </c>
      <c r="AC283" s="131" t="e">
        <f t="shared" si="12"/>
        <v>#N/A</v>
      </c>
    </row>
    <row r="284" spans="2:29" x14ac:dyDescent="0.25">
      <c r="B284" s="127"/>
      <c r="C284" s="183"/>
      <c r="D284" s="128"/>
      <c r="E284" s="128"/>
      <c r="F284" s="128"/>
      <c r="G284" s="175"/>
      <c r="H284" s="175"/>
      <c r="I284" s="140"/>
      <c r="J284" s="175"/>
      <c r="K284" s="140"/>
      <c r="L284" s="175"/>
      <c r="M284" s="140"/>
      <c r="N284" s="175"/>
      <c r="O284" s="140"/>
      <c r="P284" s="128"/>
      <c r="Q284" s="130"/>
      <c r="R284" s="130"/>
      <c r="S284" s="173"/>
      <c r="T284" s="173"/>
      <c r="U284" s="184"/>
      <c r="AA284" s="49">
        <f t="shared" si="13"/>
        <v>0</v>
      </c>
      <c r="AB284" s="49">
        <f t="shared" si="14"/>
        <v>0</v>
      </c>
      <c r="AC284" s="131" t="e">
        <f t="shared" si="12"/>
        <v>#N/A</v>
      </c>
    </row>
    <row r="285" spans="2:29" x14ac:dyDescent="0.25">
      <c r="B285" s="127"/>
      <c r="C285" s="183"/>
      <c r="D285" s="128"/>
      <c r="E285" s="128"/>
      <c r="F285" s="128"/>
      <c r="G285" s="175"/>
      <c r="H285" s="175"/>
      <c r="I285" s="140"/>
      <c r="J285" s="175"/>
      <c r="K285" s="140"/>
      <c r="L285" s="175"/>
      <c r="M285" s="140"/>
      <c r="N285" s="175"/>
      <c r="O285" s="140"/>
      <c r="P285" s="128"/>
      <c r="Q285" s="130"/>
      <c r="R285" s="130"/>
      <c r="S285" s="173"/>
      <c r="T285" s="173"/>
      <c r="U285" s="184"/>
      <c r="AA285" s="49">
        <f t="shared" si="13"/>
        <v>0</v>
      </c>
      <c r="AB285" s="49">
        <f t="shared" si="14"/>
        <v>0</v>
      </c>
      <c r="AC285" s="131" t="e">
        <f t="shared" si="12"/>
        <v>#N/A</v>
      </c>
    </row>
    <row r="286" spans="2:29" x14ac:dyDescent="0.25">
      <c r="B286" s="127"/>
      <c r="C286" s="183"/>
      <c r="D286" s="128"/>
      <c r="E286" s="128"/>
      <c r="F286" s="128"/>
      <c r="G286" s="175"/>
      <c r="H286" s="175"/>
      <c r="I286" s="140"/>
      <c r="J286" s="175"/>
      <c r="K286" s="140"/>
      <c r="L286" s="175"/>
      <c r="M286" s="140"/>
      <c r="N286" s="175"/>
      <c r="O286" s="140"/>
      <c r="P286" s="128"/>
      <c r="Q286" s="130"/>
      <c r="R286" s="130"/>
      <c r="S286" s="173"/>
      <c r="T286" s="173"/>
      <c r="U286" s="184"/>
      <c r="AA286" s="49">
        <f t="shared" si="13"/>
        <v>0</v>
      </c>
      <c r="AB286" s="49">
        <f t="shared" si="14"/>
        <v>0</v>
      </c>
      <c r="AC286" s="131" t="e">
        <f t="shared" si="12"/>
        <v>#N/A</v>
      </c>
    </row>
    <row r="287" spans="2:29" x14ac:dyDescent="0.25">
      <c r="B287" s="127"/>
      <c r="C287" s="183"/>
      <c r="D287" s="128"/>
      <c r="E287" s="128"/>
      <c r="F287" s="128"/>
      <c r="G287" s="175"/>
      <c r="H287" s="175"/>
      <c r="I287" s="140"/>
      <c r="J287" s="175"/>
      <c r="K287" s="140"/>
      <c r="L287" s="175"/>
      <c r="M287" s="140"/>
      <c r="N287" s="175"/>
      <c r="O287" s="140"/>
      <c r="P287" s="128"/>
      <c r="Q287" s="130"/>
      <c r="R287" s="130"/>
      <c r="S287" s="173"/>
      <c r="T287" s="173"/>
      <c r="U287" s="184"/>
      <c r="AA287" s="49">
        <f t="shared" si="13"/>
        <v>0</v>
      </c>
      <c r="AB287" s="49">
        <f t="shared" si="14"/>
        <v>0</v>
      </c>
      <c r="AC287" s="131" t="e">
        <f t="shared" si="12"/>
        <v>#N/A</v>
      </c>
    </row>
    <row r="288" spans="2:29" x14ac:dyDescent="0.25">
      <c r="B288" s="127"/>
      <c r="C288" s="183"/>
      <c r="D288" s="128"/>
      <c r="E288" s="128"/>
      <c r="F288" s="128"/>
      <c r="G288" s="175"/>
      <c r="H288" s="175"/>
      <c r="I288" s="140"/>
      <c r="J288" s="175"/>
      <c r="K288" s="140"/>
      <c r="L288" s="175"/>
      <c r="M288" s="140"/>
      <c r="N288" s="175"/>
      <c r="O288" s="140"/>
      <c r="P288" s="128"/>
      <c r="Q288" s="130"/>
      <c r="R288" s="130"/>
      <c r="S288" s="173"/>
      <c r="T288" s="173"/>
      <c r="U288" s="184"/>
      <c r="AA288" s="49">
        <f t="shared" si="13"/>
        <v>0</v>
      </c>
      <c r="AB288" s="49">
        <f t="shared" si="14"/>
        <v>0</v>
      </c>
      <c r="AC288" s="131" t="e">
        <f t="shared" si="12"/>
        <v>#N/A</v>
      </c>
    </row>
    <row r="289" spans="2:29" x14ac:dyDescent="0.25">
      <c r="B289" s="127"/>
      <c r="C289" s="183"/>
      <c r="D289" s="128"/>
      <c r="E289" s="128"/>
      <c r="F289" s="128"/>
      <c r="G289" s="175"/>
      <c r="H289" s="175"/>
      <c r="I289" s="140"/>
      <c r="J289" s="175"/>
      <c r="K289" s="140"/>
      <c r="L289" s="175"/>
      <c r="M289" s="140"/>
      <c r="N289" s="175"/>
      <c r="O289" s="140"/>
      <c r="P289" s="128"/>
      <c r="Q289" s="130"/>
      <c r="R289" s="130"/>
      <c r="S289" s="173"/>
      <c r="T289" s="173"/>
      <c r="U289" s="184"/>
      <c r="AA289" s="49">
        <f t="shared" si="13"/>
        <v>0</v>
      </c>
      <c r="AB289" s="49">
        <f t="shared" si="14"/>
        <v>0</v>
      </c>
      <c r="AC289" s="131" t="e">
        <f t="shared" si="12"/>
        <v>#N/A</v>
      </c>
    </row>
    <row r="290" spans="2:29" x14ac:dyDescent="0.25">
      <c r="B290" s="127"/>
      <c r="C290" s="183"/>
      <c r="D290" s="128"/>
      <c r="E290" s="128"/>
      <c r="F290" s="128"/>
      <c r="G290" s="175"/>
      <c r="H290" s="175"/>
      <c r="I290" s="140"/>
      <c r="J290" s="175"/>
      <c r="K290" s="140"/>
      <c r="L290" s="175"/>
      <c r="M290" s="140"/>
      <c r="N290" s="175"/>
      <c r="O290" s="140"/>
      <c r="P290" s="128"/>
      <c r="Q290" s="130"/>
      <c r="R290" s="130"/>
      <c r="S290" s="173"/>
      <c r="T290" s="173"/>
      <c r="U290" s="184"/>
      <c r="AA290" s="49">
        <f t="shared" si="13"/>
        <v>0</v>
      </c>
      <c r="AB290" s="49">
        <f t="shared" si="14"/>
        <v>0</v>
      </c>
      <c r="AC290" s="131" t="e">
        <f t="shared" si="12"/>
        <v>#N/A</v>
      </c>
    </row>
    <row r="291" spans="2:29" x14ac:dyDescent="0.25">
      <c r="B291" s="127"/>
      <c r="C291" s="183"/>
      <c r="D291" s="128"/>
      <c r="E291" s="128"/>
      <c r="F291" s="128"/>
      <c r="G291" s="175"/>
      <c r="H291" s="175"/>
      <c r="I291" s="140"/>
      <c r="J291" s="175"/>
      <c r="K291" s="140"/>
      <c r="L291" s="175"/>
      <c r="M291" s="140"/>
      <c r="N291" s="175"/>
      <c r="O291" s="140"/>
      <c r="P291" s="128"/>
      <c r="Q291" s="130"/>
      <c r="R291" s="130"/>
      <c r="S291" s="173"/>
      <c r="T291" s="173"/>
      <c r="U291" s="184"/>
      <c r="AA291" s="49">
        <f t="shared" si="13"/>
        <v>0</v>
      </c>
      <c r="AB291" s="49">
        <f t="shared" si="14"/>
        <v>0</v>
      </c>
      <c r="AC291" s="131" t="e">
        <f t="shared" si="12"/>
        <v>#N/A</v>
      </c>
    </row>
    <row r="292" spans="2:29" x14ac:dyDescent="0.25">
      <c r="B292" s="127"/>
      <c r="C292" s="183"/>
      <c r="D292" s="128"/>
      <c r="E292" s="128"/>
      <c r="F292" s="128"/>
      <c r="G292" s="175"/>
      <c r="H292" s="175"/>
      <c r="I292" s="140"/>
      <c r="J292" s="175"/>
      <c r="K292" s="140"/>
      <c r="L292" s="175"/>
      <c r="M292" s="140"/>
      <c r="N292" s="175"/>
      <c r="O292" s="140"/>
      <c r="P292" s="128"/>
      <c r="Q292" s="130"/>
      <c r="R292" s="130"/>
      <c r="S292" s="173"/>
      <c r="T292" s="173"/>
      <c r="U292" s="184"/>
      <c r="AA292" s="49">
        <f t="shared" si="13"/>
        <v>0</v>
      </c>
      <c r="AB292" s="49">
        <f t="shared" si="14"/>
        <v>0</v>
      </c>
      <c r="AC292" s="131" t="e">
        <f t="shared" si="12"/>
        <v>#N/A</v>
      </c>
    </row>
    <row r="293" spans="2:29" x14ac:dyDescent="0.25">
      <c r="B293" s="127"/>
      <c r="C293" s="183"/>
      <c r="D293" s="128"/>
      <c r="E293" s="128"/>
      <c r="F293" s="128"/>
      <c r="G293" s="175"/>
      <c r="H293" s="175"/>
      <c r="I293" s="140"/>
      <c r="J293" s="175"/>
      <c r="K293" s="140"/>
      <c r="L293" s="175"/>
      <c r="M293" s="140"/>
      <c r="N293" s="175"/>
      <c r="O293" s="140"/>
      <c r="P293" s="128"/>
      <c r="Q293" s="130"/>
      <c r="R293" s="130"/>
      <c r="S293" s="173"/>
      <c r="T293" s="173"/>
      <c r="U293" s="184"/>
      <c r="AA293" s="49">
        <f t="shared" si="13"/>
        <v>0</v>
      </c>
      <c r="AB293" s="49">
        <f t="shared" si="14"/>
        <v>0</v>
      </c>
      <c r="AC293" s="131" t="e">
        <f t="shared" si="12"/>
        <v>#N/A</v>
      </c>
    </row>
    <row r="294" spans="2:29" x14ac:dyDescent="0.25">
      <c r="B294" s="127"/>
      <c r="C294" s="183"/>
      <c r="D294" s="128"/>
      <c r="E294" s="128"/>
      <c r="F294" s="128"/>
      <c r="G294" s="175"/>
      <c r="H294" s="175"/>
      <c r="I294" s="140"/>
      <c r="J294" s="175"/>
      <c r="K294" s="140"/>
      <c r="L294" s="175"/>
      <c r="M294" s="140"/>
      <c r="N294" s="175"/>
      <c r="O294" s="140"/>
      <c r="P294" s="128"/>
      <c r="Q294" s="130"/>
      <c r="R294" s="130"/>
      <c r="S294" s="173"/>
      <c r="T294" s="173"/>
      <c r="U294" s="184"/>
      <c r="AA294" s="49">
        <f t="shared" si="13"/>
        <v>0</v>
      </c>
      <c r="AB294" s="49">
        <f t="shared" si="14"/>
        <v>0</v>
      </c>
      <c r="AC294" s="131" t="e">
        <f t="shared" si="12"/>
        <v>#N/A</v>
      </c>
    </row>
    <row r="295" spans="2:29" x14ac:dyDescent="0.25">
      <c r="B295" s="127"/>
      <c r="C295" s="183"/>
      <c r="D295" s="128"/>
      <c r="E295" s="128"/>
      <c r="F295" s="128"/>
      <c r="G295" s="175"/>
      <c r="H295" s="175"/>
      <c r="I295" s="140"/>
      <c r="J295" s="175"/>
      <c r="K295" s="140"/>
      <c r="L295" s="175"/>
      <c r="M295" s="140"/>
      <c r="N295" s="175"/>
      <c r="O295" s="140"/>
      <c r="P295" s="128"/>
      <c r="Q295" s="130"/>
      <c r="R295" s="130"/>
      <c r="S295" s="173"/>
      <c r="T295" s="173"/>
      <c r="U295" s="184"/>
      <c r="AA295" s="49">
        <f t="shared" si="13"/>
        <v>0</v>
      </c>
      <c r="AB295" s="49">
        <f t="shared" si="14"/>
        <v>0</v>
      </c>
      <c r="AC295" s="131" t="e">
        <f t="shared" si="12"/>
        <v>#N/A</v>
      </c>
    </row>
    <row r="296" spans="2:29" x14ac:dyDescent="0.25">
      <c r="B296" s="127"/>
      <c r="C296" s="183"/>
      <c r="D296" s="128"/>
      <c r="E296" s="128"/>
      <c r="F296" s="128"/>
      <c r="G296" s="175"/>
      <c r="H296" s="175"/>
      <c r="I296" s="140"/>
      <c r="J296" s="175"/>
      <c r="K296" s="140"/>
      <c r="L296" s="175"/>
      <c r="M296" s="140"/>
      <c r="N296" s="175"/>
      <c r="O296" s="140"/>
      <c r="P296" s="128"/>
      <c r="Q296" s="130"/>
      <c r="R296" s="130"/>
      <c r="S296" s="173"/>
      <c r="T296" s="173"/>
      <c r="U296" s="184"/>
      <c r="AA296" s="49">
        <f t="shared" si="13"/>
        <v>0</v>
      </c>
      <c r="AB296" s="49">
        <f t="shared" si="14"/>
        <v>0</v>
      </c>
      <c r="AC296" s="131" t="e">
        <f t="shared" si="12"/>
        <v>#N/A</v>
      </c>
    </row>
    <row r="297" spans="2:29" x14ac:dyDescent="0.25">
      <c r="B297" s="127"/>
      <c r="C297" s="183"/>
      <c r="D297" s="128"/>
      <c r="E297" s="128"/>
      <c r="F297" s="128"/>
      <c r="G297" s="175"/>
      <c r="H297" s="175"/>
      <c r="I297" s="140"/>
      <c r="J297" s="175"/>
      <c r="K297" s="140"/>
      <c r="L297" s="175"/>
      <c r="M297" s="140"/>
      <c r="N297" s="175"/>
      <c r="O297" s="140"/>
      <c r="P297" s="128"/>
      <c r="Q297" s="130"/>
      <c r="R297" s="130"/>
      <c r="S297" s="173"/>
      <c r="T297" s="173"/>
      <c r="U297" s="184"/>
      <c r="AA297" s="49">
        <f t="shared" si="13"/>
        <v>0</v>
      </c>
      <c r="AB297" s="49">
        <f t="shared" si="14"/>
        <v>0</v>
      </c>
      <c r="AC297" s="131" t="e">
        <f t="shared" si="12"/>
        <v>#N/A</v>
      </c>
    </row>
    <row r="298" spans="2:29" x14ac:dyDescent="0.25">
      <c r="B298" s="127"/>
      <c r="C298" s="183"/>
      <c r="D298" s="128"/>
      <c r="E298" s="128"/>
      <c r="F298" s="128"/>
      <c r="G298" s="175"/>
      <c r="H298" s="175"/>
      <c r="I298" s="140"/>
      <c r="J298" s="175"/>
      <c r="K298" s="140"/>
      <c r="L298" s="175"/>
      <c r="M298" s="140"/>
      <c r="N298" s="175"/>
      <c r="O298" s="140"/>
      <c r="P298" s="128"/>
      <c r="Q298" s="130"/>
      <c r="R298" s="130"/>
      <c r="S298" s="173"/>
      <c r="T298" s="173"/>
      <c r="U298" s="184"/>
      <c r="AA298" s="49">
        <f t="shared" si="13"/>
        <v>0</v>
      </c>
      <c r="AB298" s="49">
        <f t="shared" si="14"/>
        <v>0</v>
      </c>
      <c r="AC298" s="131" t="e">
        <f t="shared" si="12"/>
        <v>#N/A</v>
      </c>
    </row>
    <row r="299" spans="2:29" x14ac:dyDescent="0.25">
      <c r="B299" s="127"/>
      <c r="C299" s="183"/>
      <c r="D299" s="128"/>
      <c r="E299" s="128"/>
      <c r="F299" s="128"/>
      <c r="G299" s="175"/>
      <c r="H299" s="175"/>
      <c r="I299" s="140"/>
      <c r="J299" s="175"/>
      <c r="K299" s="140"/>
      <c r="L299" s="175"/>
      <c r="M299" s="140"/>
      <c r="N299" s="175"/>
      <c r="O299" s="140"/>
      <c r="P299" s="128"/>
      <c r="Q299" s="130"/>
      <c r="R299" s="130"/>
      <c r="S299" s="173"/>
      <c r="T299" s="173"/>
      <c r="U299" s="184"/>
      <c r="AA299" s="49">
        <f t="shared" si="13"/>
        <v>0</v>
      </c>
      <c r="AB299" s="49">
        <f t="shared" si="14"/>
        <v>0</v>
      </c>
      <c r="AC299" s="131" t="e">
        <f t="shared" si="12"/>
        <v>#N/A</v>
      </c>
    </row>
    <row r="300" spans="2:29" x14ac:dyDescent="0.25">
      <c r="B300" s="127"/>
      <c r="C300" s="183"/>
      <c r="D300" s="128"/>
      <c r="E300" s="128"/>
      <c r="F300" s="128"/>
      <c r="G300" s="175"/>
      <c r="H300" s="175"/>
      <c r="I300" s="140"/>
      <c r="J300" s="175"/>
      <c r="K300" s="140"/>
      <c r="L300" s="175"/>
      <c r="M300" s="140"/>
      <c r="N300" s="175"/>
      <c r="O300" s="140"/>
      <c r="P300" s="128"/>
      <c r="Q300" s="130"/>
      <c r="R300" s="130"/>
      <c r="S300" s="173"/>
      <c r="T300" s="173"/>
      <c r="U300" s="184"/>
      <c r="AA300" s="49">
        <f t="shared" si="13"/>
        <v>0</v>
      </c>
      <c r="AB300" s="49">
        <f t="shared" si="14"/>
        <v>0</v>
      </c>
      <c r="AC300" s="131" t="e">
        <f t="shared" si="12"/>
        <v>#N/A</v>
      </c>
    </row>
    <row r="301" spans="2:29" x14ac:dyDescent="0.25">
      <c r="B301" s="127"/>
      <c r="C301" s="183"/>
      <c r="D301" s="128"/>
      <c r="E301" s="128"/>
      <c r="F301" s="128"/>
      <c r="G301" s="175"/>
      <c r="H301" s="175"/>
      <c r="I301" s="140"/>
      <c r="J301" s="175"/>
      <c r="K301" s="140"/>
      <c r="L301" s="175"/>
      <c r="M301" s="140"/>
      <c r="N301" s="175"/>
      <c r="O301" s="140"/>
      <c r="P301" s="128"/>
      <c r="Q301" s="130"/>
      <c r="R301" s="130"/>
      <c r="S301" s="173"/>
      <c r="T301" s="173"/>
      <c r="U301" s="184"/>
      <c r="AA301" s="49">
        <f t="shared" si="13"/>
        <v>0</v>
      </c>
      <c r="AB301" s="49">
        <f t="shared" si="14"/>
        <v>0</v>
      </c>
      <c r="AC301" s="131" t="e">
        <f t="shared" si="12"/>
        <v>#N/A</v>
      </c>
    </row>
    <row r="302" spans="2:29" x14ac:dyDescent="0.25">
      <c r="B302" s="127"/>
      <c r="C302" s="183"/>
      <c r="D302" s="128"/>
      <c r="E302" s="128"/>
      <c r="F302" s="128"/>
      <c r="G302" s="175"/>
      <c r="H302" s="175"/>
      <c r="I302" s="140"/>
      <c r="J302" s="175"/>
      <c r="K302" s="140"/>
      <c r="L302" s="175"/>
      <c r="M302" s="140"/>
      <c r="N302" s="175"/>
      <c r="O302" s="140"/>
      <c r="P302" s="128"/>
      <c r="Q302" s="130"/>
      <c r="R302" s="130"/>
      <c r="S302" s="173"/>
      <c r="T302" s="173"/>
      <c r="U302" s="184"/>
      <c r="AA302" s="49">
        <f t="shared" si="13"/>
        <v>0</v>
      </c>
      <c r="AB302" s="49">
        <f t="shared" si="14"/>
        <v>0</v>
      </c>
      <c r="AC302" s="131" t="e">
        <f t="shared" si="12"/>
        <v>#N/A</v>
      </c>
    </row>
    <row r="303" spans="2:29" x14ac:dyDescent="0.25">
      <c r="B303" s="127"/>
      <c r="C303" s="183"/>
      <c r="D303" s="128"/>
      <c r="E303" s="128"/>
      <c r="F303" s="128"/>
      <c r="G303" s="175"/>
      <c r="H303" s="175"/>
      <c r="I303" s="140"/>
      <c r="J303" s="175"/>
      <c r="K303" s="140"/>
      <c r="L303" s="175"/>
      <c r="M303" s="140"/>
      <c r="N303" s="175"/>
      <c r="O303" s="140"/>
      <c r="P303" s="128"/>
      <c r="Q303" s="130"/>
      <c r="R303" s="130"/>
      <c r="S303" s="173"/>
      <c r="T303" s="173"/>
      <c r="U303" s="184"/>
      <c r="AA303" s="49">
        <f t="shared" si="13"/>
        <v>0</v>
      </c>
      <c r="AB303" s="49">
        <f t="shared" si="14"/>
        <v>0</v>
      </c>
      <c r="AC303" s="131" t="e">
        <f t="shared" si="12"/>
        <v>#N/A</v>
      </c>
    </row>
    <row r="304" spans="2:29" x14ac:dyDescent="0.25">
      <c r="B304" s="127"/>
      <c r="C304" s="183"/>
      <c r="D304" s="128"/>
      <c r="E304" s="128"/>
      <c r="F304" s="128"/>
      <c r="G304" s="175"/>
      <c r="H304" s="175"/>
      <c r="I304" s="140"/>
      <c r="J304" s="175"/>
      <c r="K304" s="140"/>
      <c r="L304" s="175"/>
      <c r="M304" s="140"/>
      <c r="N304" s="175"/>
      <c r="O304" s="140"/>
      <c r="P304" s="128"/>
      <c r="Q304" s="130"/>
      <c r="R304" s="130"/>
      <c r="S304" s="173"/>
      <c r="T304" s="173"/>
      <c r="U304" s="184"/>
      <c r="AA304" s="49">
        <f t="shared" si="13"/>
        <v>0</v>
      </c>
      <c r="AB304" s="49">
        <f t="shared" si="14"/>
        <v>0</v>
      </c>
      <c r="AC304" s="131" t="e">
        <f t="shared" si="12"/>
        <v>#N/A</v>
      </c>
    </row>
    <row r="305" spans="2:29" x14ac:dyDescent="0.25">
      <c r="B305" s="127"/>
      <c r="C305" s="183"/>
      <c r="D305" s="128"/>
      <c r="E305" s="128"/>
      <c r="F305" s="128"/>
      <c r="G305" s="175"/>
      <c r="H305" s="175"/>
      <c r="I305" s="140"/>
      <c r="J305" s="175"/>
      <c r="K305" s="140"/>
      <c r="L305" s="175"/>
      <c r="M305" s="140"/>
      <c r="N305" s="175"/>
      <c r="O305" s="140"/>
      <c r="P305" s="128"/>
      <c r="Q305" s="130"/>
      <c r="R305" s="130"/>
      <c r="S305" s="173"/>
      <c r="T305" s="173"/>
      <c r="U305" s="184"/>
      <c r="AA305" s="49">
        <f t="shared" si="13"/>
        <v>0</v>
      </c>
      <c r="AB305" s="49">
        <f t="shared" si="14"/>
        <v>0</v>
      </c>
      <c r="AC305" s="131" t="e">
        <f t="shared" si="12"/>
        <v>#N/A</v>
      </c>
    </row>
    <row r="306" spans="2:29" x14ac:dyDescent="0.25">
      <c r="B306" s="127"/>
      <c r="C306" s="183"/>
      <c r="D306" s="128"/>
      <c r="E306" s="128"/>
      <c r="F306" s="128"/>
      <c r="G306" s="175"/>
      <c r="H306" s="175"/>
      <c r="I306" s="140"/>
      <c r="J306" s="175"/>
      <c r="K306" s="140"/>
      <c r="L306" s="175"/>
      <c r="M306" s="140"/>
      <c r="N306" s="175"/>
      <c r="O306" s="140"/>
      <c r="P306" s="128"/>
      <c r="Q306" s="130"/>
      <c r="R306" s="130"/>
      <c r="S306" s="173"/>
      <c r="T306" s="173"/>
      <c r="U306" s="184"/>
      <c r="AA306" s="49">
        <f t="shared" si="13"/>
        <v>0</v>
      </c>
      <c r="AB306" s="49">
        <f t="shared" si="14"/>
        <v>0</v>
      </c>
      <c r="AC306" s="131" t="e">
        <f t="shared" si="12"/>
        <v>#N/A</v>
      </c>
    </row>
    <row r="307" spans="2:29" x14ac:dyDescent="0.25">
      <c r="B307" s="127"/>
      <c r="C307" s="183"/>
      <c r="D307" s="128"/>
      <c r="E307" s="128"/>
      <c r="F307" s="128"/>
      <c r="G307" s="175"/>
      <c r="H307" s="175"/>
      <c r="I307" s="140"/>
      <c r="J307" s="175"/>
      <c r="K307" s="140"/>
      <c r="L307" s="175"/>
      <c r="M307" s="140"/>
      <c r="N307" s="175"/>
      <c r="O307" s="140"/>
      <c r="P307" s="128"/>
      <c r="Q307" s="130"/>
      <c r="R307" s="130"/>
      <c r="S307" s="173"/>
      <c r="T307" s="173"/>
      <c r="U307" s="184"/>
      <c r="AA307" s="49">
        <f t="shared" si="13"/>
        <v>0</v>
      </c>
      <c r="AB307" s="49">
        <f t="shared" si="14"/>
        <v>0</v>
      </c>
      <c r="AC307" s="131" t="e">
        <f t="shared" si="12"/>
        <v>#N/A</v>
      </c>
    </row>
    <row r="308" spans="2:29" x14ac:dyDescent="0.25">
      <c r="B308" s="127"/>
      <c r="C308" s="183"/>
      <c r="D308" s="128"/>
      <c r="E308" s="128"/>
      <c r="F308" s="128"/>
      <c r="G308" s="175"/>
      <c r="H308" s="175"/>
      <c r="I308" s="140"/>
      <c r="J308" s="175"/>
      <c r="K308" s="140"/>
      <c r="L308" s="175"/>
      <c r="M308" s="140"/>
      <c r="N308" s="175"/>
      <c r="O308" s="140"/>
      <c r="P308" s="128"/>
      <c r="Q308" s="130"/>
      <c r="R308" s="130"/>
      <c r="S308" s="173"/>
      <c r="T308" s="173"/>
      <c r="U308" s="184"/>
      <c r="AA308" s="49">
        <f t="shared" si="13"/>
        <v>0</v>
      </c>
      <c r="AB308" s="49">
        <f t="shared" si="14"/>
        <v>0</v>
      </c>
      <c r="AC308" s="131" t="e">
        <f t="shared" si="12"/>
        <v>#N/A</v>
      </c>
    </row>
    <row r="309" spans="2:29" x14ac:dyDescent="0.25">
      <c r="B309" s="127"/>
      <c r="C309" s="183"/>
      <c r="D309" s="128"/>
      <c r="E309" s="128"/>
      <c r="F309" s="128"/>
      <c r="G309" s="175"/>
      <c r="H309" s="175"/>
      <c r="I309" s="140"/>
      <c r="J309" s="175"/>
      <c r="K309" s="140"/>
      <c r="L309" s="175"/>
      <c r="M309" s="140"/>
      <c r="N309" s="175"/>
      <c r="O309" s="140"/>
      <c r="P309" s="128"/>
      <c r="Q309" s="130"/>
      <c r="R309" s="130"/>
      <c r="S309" s="173"/>
      <c r="T309" s="173"/>
      <c r="U309" s="184"/>
      <c r="AA309" s="49">
        <f t="shared" si="13"/>
        <v>0</v>
      </c>
      <c r="AB309" s="49">
        <f t="shared" si="14"/>
        <v>0</v>
      </c>
      <c r="AC309" s="131" t="e">
        <f t="shared" si="12"/>
        <v>#N/A</v>
      </c>
    </row>
    <row r="310" spans="2:29" x14ac:dyDescent="0.25">
      <c r="B310" s="127"/>
      <c r="C310" s="183"/>
      <c r="D310" s="128"/>
      <c r="E310" s="128"/>
      <c r="F310" s="128"/>
      <c r="G310" s="175"/>
      <c r="H310" s="175"/>
      <c r="I310" s="140"/>
      <c r="J310" s="175"/>
      <c r="K310" s="140"/>
      <c r="L310" s="175"/>
      <c r="M310" s="140"/>
      <c r="N310" s="175"/>
      <c r="O310" s="140"/>
      <c r="P310" s="128"/>
      <c r="Q310" s="130"/>
      <c r="R310" s="130"/>
      <c r="S310" s="173"/>
      <c r="T310" s="173"/>
      <c r="U310" s="184"/>
      <c r="AA310" s="49">
        <f t="shared" si="13"/>
        <v>0</v>
      </c>
      <c r="AB310" s="49">
        <f t="shared" si="14"/>
        <v>0</v>
      </c>
      <c r="AC310" s="131" t="e">
        <f t="shared" si="12"/>
        <v>#N/A</v>
      </c>
    </row>
    <row r="311" spans="2:29" x14ac:dyDescent="0.25">
      <c r="B311" s="127"/>
      <c r="C311" s="183"/>
      <c r="D311" s="128"/>
      <c r="E311" s="128"/>
      <c r="F311" s="128"/>
      <c r="G311" s="175"/>
      <c r="H311" s="175"/>
      <c r="I311" s="140"/>
      <c r="J311" s="175"/>
      <c r="K311" s="140"/>
      <c r="L311" s="175"/>
      <c r="M311" s="140"/>
      <c r="N311" s="175"/>
      <c r="O311" s="140"/>
      <c r="P311" s="128"/>
      <c r="Q311" s="130"/>
      <c r="R311" s="130"/>
      <c r="S311" s="173"/>
      <c r="T311" s="173"/>
      <c r="U311" s="184"/>
      <c r="AA311" s="49">
        <f t="shared" si="13"/>
        <v>0</v>
      </c>
      <c r="AB311" s="49">
        <f t="shared" si="14"/>
        <v>0</v>
      </c>
      <c r="AC311" s="131" t="e">
        <f t="shared" si="12"/>
        <v>#N/A</v>
      </c>
    </row>
    <row r="312" spans="2:29" x14ac:dyDescent="0.25">
      <c r="B312" s="127"/>
      <c r="C312" s="183"/>
      <c r="D312" s="128"/>
      <c r="E312" s="128"/>
      <c r="F312" s="128"/>
      <c r="G312" s="175"/>
      <c r="H312" s="175"/>
      <c r="I312" s="140"/>
      <c r="J312" s="175"/>
      <c r="K312" s="140"/>
      <c r="L312" s="175"/>
      <c r="M312" s="140"/>
      <c r="N312" s="175"/>
      <c r="O312" s="140"/>
      <c r="P312" s="128"/>
      <c r="Q312" s="130"/>
      <c r="R312" s="130"/>
      <c r="S312" s="173"/>
      <c r="T312" s="173"/>
      <c r="U312" s="184"/>
      <c r="AA312" s="49">
        <f t="shared" si="13"/>
        <v>0</v>
      </c>
      <c r="AB312" s="49">
        <f t="shared" si="14"/>
        <v>0</v>
      </c>
      <c r="AC312" s="131" t="e">
        <f t="shared" si="12"/>
        <v>#N/A</v>
      </c>
    </row>
    <row r="313" spans="2:29" x14ac:dyDescent="0.25">
      <c r="B313" s="127"/>
      <c r="C313" s="183"/>
      <c r="D313" s="128"/>
      <c r="E313" s="128"/>
      <c r="F313" s="128"/>
      <c r="G313" s="175"/>
      <c r="H313" s="175"/>
      <c r="I313" s="140"/>
      <c r="J313" s="175"/>
      <c r="K313" s="140"/>
      <c r="L313" s="175"/>
      <c r="M313" s="140"/>
      <c r="N313" s="175"/>
      <c r="O313" s="140"/>
      <c r="P313" s="128"/>
      <c r="Q313" s="130"/>
      <c r="R313" s="130"/>
      <c r="S313" s="173"/>
      <c r="T313" s="173"/>
      <c r="U313" s="184"/>
      <c r="AA313" s="49">
        <f t="shared" si="13"/>
        <v>0</v>
      </c>
      <c r="AB313" s="49">
        <f t="shared" si="14"/>
        <v>0</v>
      </c>
      <c r="AC313" s="131" t="e">
        <f t="shared" si="12"/>
        <v>#N/A</v>
      </c>
    </row>
    <row r="314" spans="2:29" x14ac:dyDescent="0.25">
      <c r="B314" s="127"/>
      <c r="C314" s="183"/>
      <c r="D314" s="128"/>
      <c r="E314" s="128"/>
      <c r="F314" s="128"/>
      <c r="G314" s="175"/>
      <c r="H314" s="175"/>
      <c r="I314" s="140"/>
      <c r="J314" s="175"/>
      <c r="K314" s="140"/>
      <c r="L314" s="175"/>
      <c r="M314" s="140"/>
      <c r="N314" s="175"/>
      <c r="O314" s="140"/>
      <c r="P314" s="128"/>
      <c r="Q314" s="130"/>
      <c r="R314" s="130"/>
      <c r="S314" s="173"/>
      <c r="T314" s="173"/>
      <c r="U314" s="184"/>
      <c r="AA314" s="49">
        <f t="shared" si="13"/>
        <v>0</v>
      </c>
      <c r="AB314" s="49">
        <f t="shared" si="14"/>
        <v>0</v>
      </c>
      <c r="AC314" s="131" t="e">
        <f t="shared" si="12"/>
        <v>#N/A</v>
      </c>
    </row>
    <row r="315" spans="2:29" x14ac:dyDescent="0.25">
      <c r="B315" s="127"/>
      <c r="C315" s="183"/>
      <c r="D315" s="128"/>
      <c r="E315" s="128"/>
      <c r="F315" s="128"/>
      <c r="G315" s="175"/>
      <c r="H315" s="175"/>
      <c r="I315" s="140"/>
      <c r="J315" s="175"/>
      <c r="K315" s="140"/>
      <c r="L315" s="175"/>
      <c r="M315" s="140"/>
      <c r="N315" s="175"/>
      <c r="O315" s="140"/>
      <c r="P315" s="128"/>
      <c r="Q315" s="130"/>
      <c r="R315" s="130"/>
      <c r="S315" s="173"/>
      <c r="T315" s="173"/>
      <c r="U315" s="184"/>
      <c r="AA315" s="49">
        <f t="shared" si="13"/>
        <v>0</v>
      </c>
      <c r="AB315" s="49">
        <f t="shared" si="14"/>
        <v>0</v>
      </c>
      <c r="AC315" s="131" t="e">
        <f t="shared" si="12"/>
        <v>#N/A</v>
      </c>
    </row>
    <row r="316" spans="2:29" x14ac:dyDescent="0.25">
      <c r="B316" s="127"/>
      <c r="C316" s="183"/>
      <c r="D316" s="128"/>
      <c r="E316" s="128"/>
      <c r="F316" s="128"/>
      <c r="G316" s="175"/>
      <c r="H316" s="175"/>
      <c r="I316" s="140"/>
      <c r="J316" s="175"/>
      <c r="K316" s="140"/>
      <c r="L316" s="175"/>
      <c r="M316" s="140"/>
      <c r="N316" s="175"/>
      <c r="O316" s="140"/>
      <c r="P316" s="128"/>
      <c r="Q316" s="130"/>
      <c r="R316" s="130"/>
      <c r="S316" s="173"/>
      <c r="T316" s="173"/>
      <c r="U316" s="184"/>
      <c r="AA316" s="49">
        <f t="shared" si="13"/>
        <v>0</v>
      </c>
      <c r="AB316" s="49">
        <f t="shared" si="14"/>
        <v>0</v>
      </c>
      <c r="AC316" s="131" t="e">
        <f t="shared" si="12"/>
        <v>#N/A</v>
      </c>
    </row>
    <row r="317" spans="2:29" x14ac:dyDescent="0.25">
      <c r="B317" s="127"/>
      <c r="C317" s="183"/>
      <c r="D317" s="128"/>
      <c r="E317" s="128"/>
      <c r="F317" s="128"/>
      <c r="G317" s="175"/>
      <c r="H317" s="175"/>
      <c r="I317" s="140"/>
      <c r="J317" s="175"/>
      <c r="K317" s="140"/>
      <c r="L317" s="175"/>
      <c r="M317" s="140"/>
      <c r="N317" s="175"/>
      <c r="O317" s="140"/>
      <c r="P317" s="128"/>
      <c r="Q317" s="130"/>
      <c r="R317" s="130"/>
      <c r="S317" s="173"/>
      <c r="T317" s="173"/>
      <c r="U317" s="184"/>
      <c r="AA317" s="49">
        <f t="shared" si="13"/>
        <v>0</v>
      </c>
      <c r="AB317" s="49">
        <f t="shared" si="14"/>
        <v>0</v>
      </c>
      <c r="AC317" s="131" t="e">
        <f t="shared" si="12"/>
        <v>#N/A</v>
      </c>
    </row>
    <row r="318" spans="2:29" x14ac:dyDescent="0.25">
      <c r="B318" s="127"/>
      <c r="C318" s="183"/>
      <c r="D318" s="128"/>
      <c r="E318" s="128"/>
      <c r="F318" s="128"/>
      <c r="G318" s="175"/>
      <c r="H318" s="175"/>
      <c r="I318" s="140"/>
      <c r="J318" s="175"/>
      <c r="K318" s="140"/>
      <c r="L318" s="175"/>
      <c r="M318" s="140"/>
      <c r="N318" s="175"/>
      <c r="O318" s="140"/>
      <c r="P318" s="128"/>
      <c r="Q318" s="130"/>
      <c r="R318" s="130"/>
      <c r="S318" s="173"/>
      <c r="T318" s="173"/>
      <c r="U318" s="184"/>
      <c r="AA318" s="49">
        <f t="shared" si="13"/>
        <v>0</v>
      </c>
      <c r="AB318" s="49">
        <f t="shared" si="14"/>
        <v>0</v>
      </c>
      <c r="AC318" s="131" t="e">
        <f t="shared" si="12"/>
        <v>#N/A</v>
      </c>
    </row>
    <row r="319" spans="2:29" x14ac:dyDescent="0.25">
      <c r="B319" s="127"/>
      <c r="C319" s="183"/>
      <c r="D319" s="128"/>
      <c r="E319" s="128"/>
      <c r="F319" s="128"/>
      <c r="G319" s="175"/>
      <c r="H319" s="175"/>
      <c r="I319" s="140"/>
      <c r="J319" s="175"/>
      <c r="K319" s="140"/>
      <c r="L319" s="175"/>
      <c r="M319" s="140"/>
      <c r="N319" s="175"/>
      <c r="O319" s="140"/>
      <c r="P319" s="128"/>
      <c r="Q319" s="130"/>
      <c r="R319" s="130"/>
      <c r="S319" s="173"/>
      <c r="T319" s="173"/>
      <c r="U319" s="184"/>
      <c r="AA319" s="49">
        <f t="shared" si="13"/>
        <v>0</v>
      </c>
      <c r="AB319" s="49">
        <f t="shared" si="14"/>
        <v>0</v>
      </c>
      <c r="AC319" s="131" t="e">
        <f t="shared" si="12"/>
        <v>#N/A</v>
      </c>
    </row>
    <row r="320" spans="2:29" x14ac:dyDescent="0.25">
      <c r="B320" s="127"/>
      <c r="C320" s="183"/>
      <c r="D320" s="128"/>
      <c r="E320" s="128"/>
      <c r="F320" s="128"/>
      <c r="G320" s="175"/>
      <c r="H320" s="175"/>
      <c r="I320" s="140"/>
      <c r="J320" s="175"/>
      <c r="K320" s="140"/>
      <c r="L320" s="175"/>
      <c r="M320" s="140"/>
      <c r="N320" s="175"/>
      <c r="O320" s="140"/>
      <c r="P320" s="128"/>
      <c r="Q320" s="130"/>
      <c r="R320" s="130"/>
      <c r="S320" s="173"/>
      <c r="T320" s="173"/>
      <c r="U320" s="184"/>
      <c r="AA320" s="49">
        <f t="shared" si="13"/>
        <v>0</v>
      </c>
      <c r="AB320" s="49">
        <f t="shared" si="14"/>
        <v>0</v>
      </c>
      <c r="AC320" s="131" t="e">
        <f t="shared" si="12"/>
        <v>#N/A</v>
      </c>
    </row>
    <row r="321" spans="2:29" x14ac:dyDescent="0.25">
      <c r="B321" s="127"/>
      <c r="C321" s="183"/>
      <c r="D321" s="128"/>
      <c r="E321" s="128"/>
      <c r="F321" s="128"/>
      <c r="G321" s="175"/>
      <c r="H321" s="175"/>
      <c r="I321" s="140"/>
      <c r="J321" s="175"/>
      <c r="K321" s="140"/>
      <c r="L321" s="175"/>
      <c r="M321" s="140"/>
      <c r="N321" s="175"/>
      <c r="O321" s="140"/>
      <c r="P321" s="128"/>
      <c r="Q321" s="130"/>
      <c r="R321" s="130"/>
      <c r="S321" s="173"/>
      <c r="T321" s="173"/>
      <c r="U321" s="184"/>
      <c r="AA321" s="49">
        <f t="shared" si="13"/>
        <v>0</v>
      </c>
      <c r="AB321" s="49">
        <f t="shared" si="14"/>
        <v>0</v>
      </c>
      <c r="AC321" s="131" t="e">
        <f t="shared" si="12"/>
        <v>#N/A</v>
      </c>
    </row>
    <row r="322" spans="2:29" x14ac:dyDescent="0.25">
      <c r="B322" s="127"/>
      <c r="C322" s="183"/>
      <c r="D322" s="128"/>
      <c r="E322" s="128"/>
      <c r="F322" s="128"/>
      <c r="G322" s="175"/>
      <c r="H322" s="175"/>
      <c r="I322" s="140"/>
      <c r="J322" s="175"/>
      <c r="K322" s="140"/>
      <c r="L322" s="175"/>
      <c r="M322" s="140"/>
      <c r="N322" s="175"/>
      <c r="O322" s="140"/>
      <c r="P322" s="128"/>
      <c r="Q322" s="130"/>
      <c r="R322" s="130"/>
      <c r="S322" s="173"/>
      <c r="T322" s="173"/>
      <c r="U322" s="184"/>
      <c r="AA322" s="49">
        <f t="shared" si="13"/>
        <v>0</v>
      </c>
      <c r="AB322" s="49">
        <f t="shared" si="14"/>
        <v>0</v>
      </c>
      <c r="AC322" s="131" t="e">
        <f t="shared" si="12"/>
        <v>#N/A</v>
      </c>
    </row>
    <row r="323" spans="2:29" x14ac:dyDescent="0.25">
      <c r="B323" s="127"/>
      <c r="C323" s="183"/>
      <c r="D323" s="128"/>
      <c r="E323" s="128"/>
      <c r="F323" s="128"/>
      <c r="G323" s="175"/>
      <c r="H323" s="175"/>
      <c r="I323" s="140"/>
      <c r="J323" s="175"/>
      <c r="K323" s="140"/>
      <c r="L323" s="175"/>
      <c r="M323" s="140"/>
      <c r="N323" s="175"/>
      <c r="O323" s="140"/>
      <c r="P323" s="128"/>
      <c r="Q323" s="130"/>
      <c r="R323" s="130"/>
      <c r="S323" s="173"/>
      <c r="T323" s="173"/>
      <c r="U323" s="184"/>
      <c r="AA323" s="49">
        <f t="shared" si="13"/>
        <v>0</v>
      </c>
      <c r="AB323" s="49">
        <f t="shared" si="14"/>
        <v>0</v>
      </c>
      <c r="AC323" s="131" t="e">
        <f t="shared" si="12"/>
        <v>#N/A</v>
      </c>
    </row>
    <row r="324" spans="2:29" x14ac:dyDescent="0.25">
      <c r="B324" s="127"/>
      <c r="C324" s="183"/>
      <c r="D324" s="128"/>
      <c r="E324" s="128"/>
      <c r="F324" s="128"/>
      <c r="G324" s="175"/>
      <c r="H324" s="175"/>
      <c r="I324" s="140"/>
      <c r="J324" s="175"/>
      <c r="K324" s="140"/>
      <c r="L324" s="175"/>
      <c r="M324" s="140"/>
      <c r="N324" s="175"/>
      <c r="O324" s="140"/>
      <c r="P324" s="128"/>
      <c r="Q324" s="130"/>
      <c r="R324" s="130"/>
      <c r="S324" s="173"/>
      <c r="T324" s="173"/>
      <c r="U324" s="184"/>
      <c r="AA324" s="49">
        <f t="shared" si="13"/>
        <v>0</v>
      </c>
      <c r="AB324" s="49">
        <f t="shared" si="14"/>
        <v>0</v>
      </c>
      <c r="AC324" s="131" t="e">
        <f t="shared" si="12"/>
        <v>#N/A</v>
      </c>
    </row>
    <row r="325" spans="2:29" x14ac:dyDescent="0.25">
      <c r="B325" s="127"/>
      <c r="C325" s="183"/>
      <c r="D325" s="128"/>
      <c r="E325" s="128"/>
      <c r="F325" s="128"/>
      <c r="G325" s="175"/>
      <c r="H325" s="175"/>
      <c r="I325" s="140"/>
      <c r="J325" s="175"/>
      <c r="K325" s="140"/>
      <c r="L325" s="175"/>
      <c r="M325" s="140"/>
      <c r="N325" s="175"/>
      <c r="O325" s="140"/>
      <c r="P325" s="128"/>
      <c r="Q325" s="130"/>
      <c r="R325" s="130"/>
      <c r="S325" s="173"/>
      <c r="T325" s="173"/>
      <c r="U325" s="184"/>
      <c r="AA325" s="49">
        <f t="shared" si="13"/>
        <v>0</v>
      </c>
      <c r="AB325" s="49">
        <f t="shared" si="14"/>
        <v>0</v>
      </c>
      <c r="AC325" s="131" t="e">
        <f t="shared" si="12"/>
        <v>#N/A</v>
      </c>
    </row>
    <row r="326" spans="2:29" x14ac:dyDescent="0.25">
      <c r="B326" s="127"/>
      <c r="C326" s="183"/>
      <c r="D326" s="128"/>
      <c r="E326" s="128"/>
      <c r="F326" s="128"/>
      <c r="G326" s="175"/>
      <c r="H326" s="175"/>
      <c r="I326" s="140"/>
      <c r="J326" s="175"/>
      <c r="K326" s="140"/>
      <c r="L326" s="175"/>
      <c r="M326" s="140"/>
      <c r="N326" s="175"/>
      <c r="O326" s="140"/>
      <c r="P326" s="128"/>
      <c r="Q326" s="130"/>
      <c r="R326" s="130"/>
      <c r="S326" s="173"/>
      <c r="T326" s="173"/>
      <c r="U326" s="184"/>
      <c r="AA326" s="49">
        <f t="shared" si="13"/>
        <v>0</v>
      </c>
      <c r="AB326" s="49">
        <f t="shared" si="14"/>
        <v>0</v>
      </c>
      <c r="AC326" s="131" t="e">
        <f t="shared" si="12"/>
        <v>#N/A</v>
      </c>
    </row>
    <row r="327" spans="2:29" x14ac:dyDescent="0.25">
      <c r="B327" s="127"/>
      <c r="C327" s="183"/>
      <c r="D327" s="128"/>
      <c r="E327" s="128"/>
      <c r="F327" s="128"/>
      <c r="G327" s="175"/>
      <c r="H327" s="175"/>
      <c r="I327" s="140"/>
      <c r="J327" s="175"/>
      <c r="K327" s="140"/>
      <c r="L327" s="175"/>
      <c r="M327" s="140"/>
      <c r="N327" s="175"/>
      <c r="O327" s="140"/>
      <c r="P327" s="128"/>
      <c r="Q327" s="130"/>
      <c r="R327" s="130"/>
      <c r="S327" s="173"/>
      <c r="T327" s="173"/>
      <c r="U327" s="184"/>
      <c r="AA327" s="49">
        <f t="shared" si="13"/>
        <v>0</v>
      </c>
      <c r="AB327" s="49">
        <f t="shared" si="14"/>
        <v>0</v>
      </c>
      <c r="AC327" s="131" t="e">
        <f t="shared" si="12"/>
        <v>#N/A</v>
      </c>
    </row>
    <row r="328" spans="2:29" x14ac:dyDescent="0.25">
      <c r="B328" s="127"/>
      <c r="C328" s="183"/>
      <c r="D328" s="128"/>
      <c r="E328" s="128"/>
      <c r="F328" s="128"/>
      <c r="G328" s="175"/>
      <c r="H328" s="175"/>
      <c r="I328" s="140"/>
      <c r="J328" s="175"/>
      <c r="K328" s="140"/>
      <c r="L328" s="175"/>
      <c r="M328" s="140"/>
      <c r="N328" s="175"/>
      <c r="O328" s="140"/>
      <c r="P328" s="128"/>
      <c r="Q328" s="130"/>
      <c r="R328" s="130"/>
      <c r="S328" s="173"/>
      <c r="T328" s="173"/>
      <c r="U328" s="184"/>
      <c r="AA328" s="49">
        <f t="shared" si="13"/>
        <v>0</v>
      </c>
      <c r="AB328" s="49">
        <f t="shared" si="14"/>
        <v>0</v>
      </c>
      <c r="AC328" s="131" t="e">
        <f t="shared" si="12"/>
        <v>#N/A</v>
      </c>
    </row>
    <row r="329" spans="2:29" x14ac:dyDescent="0.25">
      <c r="B329" s="127"/>
      <c r="C329" s="183"/>
      <c r="D329" s="128"/>
      <c r="E329" s="128"/>
      <c r="F329" s="128"/>
      <c r="G329" s="175"/>
      <c r="H329" s="175"/>
      <c r="I329" s="140"/>
      <c r="J329" s="175"/>
      <c r="K329" s="140"/>
      <c r="L329" s="175"/>
      <c r="M329" s="140"/>
      <c r="N329" s="175"/>
      <c r="O329" s="140"/>
      <c r="P329" s="128"/>
      <c r="Q329" s="130"/>
      <c r="R329" s="130"/>
      <c r="S329" s="173"/>
      <c r="T329" s="173"/>
      <c r="U329" s="184"/>
      <c r="AA329" s="49">
        <f t="shared" si="13"/>
        <v>0</v>
      </c>
      <c r="AB329" s="49">
        <f t="shared" si="14"/>
        <v>0</v>
      </c>
      <c r="AC329" s="131" t="e">
        <f t="shared" si="12"/>
        <v>#N/A</v>
      </c>
    </row>
    <row r="330" spans="2:29" x14ac:dyDescent="0.25">
      <c r="B330" s="127"/>
      <c r="C330" s="183"/>
      <c r="D330" s="128"/>
      <c r="E330" s="128"/>
      <c r="F330" s="128"/>
      <c r="G330" s="175"/>
      <c r="H330" s="175"/>
      <c r="I330" s="140"/>
      <c r="J330" s="175"/>
      <c r="K330" s="140"/>
      <c r="L330" s="175"/>
      <c r="M330" s="140"/>
      <c r="N330" s="175"/>
      <c r="O330" s="140"/>
      <c r="P330" s="128"/>
      <c r="Q330" s="130"/>
      <c r="R330" s="130"/>
      <c r="S330" s="173"/>
      <c r="T330" s="173"/>
      <c r="U330" s="184"/>
      <c r="AA330" s="49">
        <f t="shared" si="13"/>
        <v>0</v>
      </c>
      <c r="AB330" s="49">
        <f t="shared" si="14"/>
        <v>0</v>
      </c>
      <c r="AC330" s="131" t="e">
        <f t="shared" si="12"/>
        <v>#N/A</v>
      </c>
    </row>
    <row r="331" spans="2:29" x14ac:dyDescent="0.25">
      <c r="B331" s="127"/>
      <c r="C331" s="183"/>
      <c r="D331" s="128"/>
      <c r="E331" s="128"/>
      <c r="F331" s="128"/>
      <c r="G331" s="175"/>
      <c r="H331" s="175"/>
      <c r="I331" s="140"/>
      <c r="J331" s="175"/>
      <c r="K331" s="140"/>
      <c r="L331" s="175"/>
      <c r="M331" s="140"/>
      <c r="N331" s="175"/>
      <c r="O331" s="140"/>
      <c r="P331" s="128"/>
      <c r="Q331" s="130"/>
      <c r="R331" s="130"/>
      <c r="S331" s="173"/>
      <c r="T331" s="173"/>
      <c r="U331" s="184"/>
      <c r="AA331" s="49">
        <f t="shared" si="13"/>
        <v>0</v>
      </c>
      <c r="AB331" s="49">
        <f t="shared" si="14"/>
        <v>0</v>
      </c>
      <c r="AC331" s="131" t="e">
        <f t="shared" si="12"/>
        <v>#N/A</v>
      </c>
    </row>
    <row r="332" spans="2:29" x14ac:dyDescent="0.25">
      <c r="B332" s="127"/>
      <c r="C332" s="183"/>
      <c r="D332" s="128"/>
      <c r="E332" s="128"/>
      <c r="F332" s="128"/>
      <c r="G332" s="175"/>
      <c r="H332" s="175"/>
      <c r="I332" s="140"/>
      <c r="J332" s="175"/>
      <c r="K332" s="140"/>
      <c r="L332" s="175"/>
      <c r="M332" s="140"/>
      <c r="N332" s="175"/>
      <c r="O332" s="140"/>
      <c r="P332" s="128"/>
      <c r="Q332" s="130"/>
      <c r="R332" s="130"/>
      <c r="S332" s="173"/>
      <c r="T332" s="173"/>
      <c r="U332" s="184"/>
      <c r="AA332" s="49">
        <f t="shared" si="13"/>
        <v>0</v>
      </c>
      <c r="AB332" s="49">
        <f t="shared" si="14"/>
        <v>0</v>
      </c>
      <c r="AC332" s="131" t="e">
        <f t="shared" si="12"/>
        <v>#N/A</v>
      </c>
    </row>
    <row r="333" spans="2:29" x14ac:dyDescent="0.25">
      <c r="B333" s="127"/>
      <c r="C333" s="183"/>
      <c r="D333" s="128"/>
      <c r="E333" s="128"/>
      <c r="F333" s="128"/>
      <c r="G333" s="175"/>
      <c r="H333" s="175"/>
      <c r="I333" s="140"/>
      <c r="J333" s="175"/>
      <c r="K333" s="140"/>
      <c r="L333" s="175"/>
      <c r="M333" s="140"/>
      <c r="N333" s="175"/>
      <c r="O333" s="140"/>
      <c r="P333" s="128"/>
      <c r="Q333" s="130"/>
      <c r="R333" s="130"/>
      <c r="S333" s="173"/>
      <c r="T333" s="173"/>
      <c r="U333" s="184"/>
      <c r="AA333" s="49">
        <f t="shared" si="13"/>
        <v>0</v>
      </c>
      <c r="AB333" s="49">
        <f t="shared" si="14"/>
        <v>0</v>
      </c>
      <c r="AC333" s="131" t="e">
        <f t="shared" si="12"/>
        <v>#N/A</v>
      </c>
    </row>
    <row r="334" spans="2:29" x14ac:dyDescent="0.25">
      <c r="B334" s="127"/>
      <c r="C334" s="183"/>
      <c r="D334" s="128"/>
      <c r="E334" s="128"/>
      <c r="F334" s="128"/>
      <c r="G334" s="175"/>
      <c r="H334" s="175"/>
      <c r="I334" s="140"/>
      <c r="J334" s="175"/>
      <c r="K334" s="140"/>
      <c r="L334" s="175"/>
      <c r="M334" s="140"/>
      <c r="N334" s="175"/>
      <c r="O334" s="140"/>
      <c r="P334" s="128"/>
      <c r="Q334" s="130"/>
      <c r="R334" s="130"/>
      <c r="S334" s="173"/>
      <c r="T334" s="173"/>
      <c r="U334" s="184"/>
      <c r="AA334" s="49">
        <f t="shared" si="13"/>
        <v>0</v>
      </c>
      <c r="AB334" s="49">
        <f t="shared" si="14"/>
        <v>0</v>
      </c>
      <c r="AC334" s="131" t="e">
        <f t="shared" si="12"/>
        <v>#N/A</v>
      </c>
    </row>
    <row r="335" spans="2:29" x14ac:dyDescent="0.25">
      <c r="B335" s="127"/>
      <c r="C335" s="183"/>
      <c r="D335" s="128"/>
      <c r="E335" s="128"/>
      <c r="F335" s="128"/>
      <c r="G335" s="175"/>
      <c r="H335" s="175"/>
      <c r="I335" s="140"/>
      <c r="J335" s="175"/>
      <c r="K335" s="140"/>
      <c r="L335" s="175"/>
      <c r="M335" s="140"/>
      <c r="N335" s="175"/>
      <c r="O335" s="140"/>
      <c r="P335" s="128"/>
      <c r="Q335" s="130"/>
      <c r="R335" s="130"/>
      <c r="S335" s="173"/>
      <c r="T335" s="173"/>
      <c r="U335" s="184"/>
      <c r="AA335" s="49">
        <f t="shared" si="13"/>
        <v>0</v>
      </c>
      <c r="AB335" s="49">
        <f t="shared" si="14"/>
        <v>0</v>
      </c>
      <c r="AC335" s="131" t="e">
        <f t="shared" si="12"/>
        <v>#N/A</v>
      </c>
    </row>
    <row r="336" spans="2:29" x14ac:dyDescent="0.25">
      <c r="B336" s="127"/>
      <c r="C336" s="183"/>
      <c r="D336" s="128"/>
      <c r="E336" s="128"/>
      <c r="F336" s="128"/>
      <c r="G336" s="175"/>
      <c r="H336" s="175"/>
      <c r="I336" s="140"/>
      <c r="J336" s="175"/>
      <c r="K336" s="140"/>
      <c r="L336" s="175"/>
      <c r="M336" s="140"/>
      <c r="N336" s="175"/>
      <c r="O336" s="140"/>
      <c r="P336" s="128"/>
      <c r="Q336" s="130"/>
      <c r="R336" s="130"/>
      <c r="S336" s="173"/>
      <c r="T336" s="173"/>
      <c r="U336" s="184"/>
      <c r="AA336" s="49">
        <f t="shared" si="13"/>
        <v>0</v>
      </c>
      <c r="AB336" s="49">
        <f t="shared" si="14"/>
        <v>0</v>
      </c>
      <c r="AC336" s="131" t="e">
        <f t="shared" ref="AC336:AC399" si="15">VLOOKUP(C336,ChamberType,2,FALSE)</f>
        <v>#N/A</v>
      </c>
    </row>
    <row r="337" spans="2:29" x14ac:dyDescent="0.25">
      <c r="B337" s="127"/>
      <c r="C337" s="183"/>
      <c r="D337" s="128"/>
      <c r="E337" s="128"/>
      <c r="F337" s="128"/>
      <c r="G337" s="175"/>
      <c r="H337" s="175"/>
      <c r="I337" s="140"/>
      <c r="J337" s="175"/>
      <c r="K337" s="140"/>
      <c r="L337" s="175"/>
      <c r="M337" s="140"/>
      <c r="N337" s="175"/>
      <c r="O337" s="140"/>
      <c r="P337" s="128"/>
      <c r="Q337" s="130"/>
      <c r="R337" s="130"/>
      <c r="S337" s="173"/>
      <c r="T337" s="173"/>
      <c r="U337" s="184"/>
      <c r="AA337" s="49">
        <f t="shared" ref="AA337:AA400" si="16">D337+J337/6</f>
        <v>0</v>
      </c>
      <c r="AB337" s="49">
        <f t="shared" ref="AB337:AB400" si="17">D337+(J337+N337)/12</f>
        <v>0</v>
      </c>
      <c r="AC337" s="131" t="e">
        <f t="shared" si="15"/>
        <v>#N/A</v>
      </c>
    </row>
    <row r="338" spans="2:29" x14ac:dyDescent="0.25">
      <c r="B338" s="127"/>
      <c r="C338" s="183"/>
      <c r="D338" s="128"/>
      <c r="E338" s="128"/>
      <c r="F338" s="128"/>
      <c r="G338" s="175"/>
      <c r="H338" s="175"/>
      <c r="I338" s="140"/>
      <c r="J338" s="175"/>
      <c r="K338" s="140"/>
      <c r="L338" s="175"/>
      <c r="M338" s="140"/>
      <c r="N338" s="175"/>
      <c r="O338" s="140"/>
      <c r="P338" s="128"/>
      <c r="Q338" s="130"/>
      <c r="R338" s="130"/>
      <c r="S338" s="173"/>
      <c r="T338" s="173"/>
      <c r="U338" s="184"/>
      <c r="AA338" s="49">
        <f t="shared" si="16"/>
        <v>0</v>
      </c>
      <c r="AB338" s="49">
        <f t="shared" si="17"/>
        <v>0</v>
      </c>
      <c r="AC338" s="131" t="e">
        <f t="shared" si="15"/>
        <v>#N/A</v>
      </c>
    </row>
    <row r="339" spans="2:29" x14ac:dyDescent="0.25">
      <c r="B339" s="127"/>
      <c r="C339" s="183"/>
      <c r="D339" s="128"/>
      <c r="E339" s="128"/>
      <c r="F339" s="128"/>
      <c r="G339" s="175"/>
      <c r="H339" s="175"/>
      <c r="I339" s="140"/>
      <c r="J339" s="175"/>
      <c r="K339" s="140"/>
      <c r="L339" s="175"/>
      <c r="M339" s="140"/>
      <c r="N339" s="175"/>
      <c r="O339" s="140"/>
      <c r="P339" s="128"/>
      <c r="Q339" s="130"/>
      <c r="R339" s="130"/>
      <c r="S339" s="173"/>
      <c r="T339" s="173"/>
      <c r="U339" s="184"/>
      <c r="AA339" s="49">
        <f t="shared" si="16"/>
        <v>0</v>
      </c>
      <c r="AB339" s="49">
        <f t="shared" si="17"/>
        <v>0</v>
      </c>
      <c r="AC339" s="131" t="e">
        <f t="shared" si="15"/>
        <v>#N/A</v>
      </c>
    </row>
    <row r="340" spans="2:29" x14ac:dyDescent="0.25">
      <c r="B340" s="127"/>
      <c r="C340" s="183"/>
      <c r="D340" s="128"/>
      <c r="E340" s="128"/>
      <c r="F340" s="128"/>
      <c r="G340" s="175"/>
      <c r="H340" s="175"/>
      <c r="I340" s="140"/>
      <c r="J340" s="175"/>
      <c r="K340" s="140"/>
      <c r="L340" s="175"/>
      <c r="M340" s="140"/>
      <c r="N340" s="175"/>
      <c r="O340" s="140"/>
      <c r="P340" s="128"/>
      <c r="Q340" s="130"/>
      <c r="R340" s="130"/>
      <c r="S340" s="173"/>
      <c r="T340" s="173"/>
      <c r="U340" s="184"/>
      <c r="AA340" s="49">
        <f t="shared" si="16"/>
        <v>0</v>
      </c>
      <c r="AB340" s="49">
        <f t="shared" si="17"/>
        <v>0</v>
      </c>
      <c r="AC340" s="131" t="e">
        <f t="shared" si="15"/>
        <v>#N/A</v>
      </c>
    </row>
    <row r="341" spans="2:29" x14ac:dyDescent="0.25">
      <c r="B341" s="127"/>
      <c r="C341" s="183"/>
      <c r="D341" s="128"/>
      <c r="E341" s="128"/>
      <c r="F341" s="128"/>
      <c r="G341" s="175"/>
      <c r="H341" s="175"/>
      <c r="I341" s="140"/>
      <c r="J341" s="175"/>
      <c r="K341" s="140"/>
      <c r="L341" s="175"/>
      <c r="M341" s="140"/>
      <c r="N341" s="175"/>
      <c r="O341" s="140"/>
      <c r="P341" s="128"/>
      <c r="Q341" s="130"/>
      <c r="R341" s="130"/>
      <c r="S341" s="173"/>
      <c r="T341" s="173"/>
      <c r="U341" s="184"/>
      <c r="AA341" s="49">
        <f t="shared" si="16"/>
        <v>0</v>
      </c>
      <c r="AB341" s="49">
        <f t="shared" si="17"/>
        <v>0</v>
      </c>
      <c r="AC341" s="131" t="e">
        <f t="shared" si="15"/>
        <v>#N/A</v>
      </c>
    </row>
    <row r="342" spans="2:29" x14ac:dyDescent="0.25">
      <c r="B342" s="127"/>
      <c r="C342" s="183"/>
      <c r="D342" s="128"/>
      <c r="E342" s="128"/>
      <c r="F342" s="128"/>
      <c r="G342" s="175"/>
      <c r="H342" s="175"/>
      <c r="I342" s="140"/>
      <c r="J342" s="175"/>
      <c r="K342" s="140"/>
      <c r="L342" s="175"/>
      <c r="M342" s="140"/>
      <c r="N342" s="175"/>
      <c r="O342" s="140"/>
      <c r="P342" s="128"/>
      <c r="Q342" s="130"/>
      <c r="R342" s="130"/>
      <c r="S342" s="173"/>
      <c r="T342" s="173"/>
      <c r="U342" s="184"/>
      <c r="AA342" s="49">
        <f t="shared" si="16"/>
        <v>0</v>
      </c>
      <c r="AB342" s="49">
        <f t="shared" si="17"/>
        <v>0</v>
      </c>
      <c r="AC342" s="131" t="e">
        <f t="shared" si="15"/>
        <v>#N/A</v>
      </c>
    </row>
    <row r="343" spans="2:29" x14ac:dyDescent="0.25">
      <c r="B343" s="127"/>
      <c r="C343" s="183"/>
      <c r="D343" s="128"/>
      <c r="E343" s="128"/>
      <c r="F343" s="128"/>
      <c r="G343" s="175"/>
      <c r="H343" s="175"/>
      <c r="I343" s="140"/>
      <c r="J343" s="175"/>
      <c r="K343" s="140"/>
      <c r="L343" s="175"/>
      <c r="M343" s="140"/>
      <c r="N343" s="175"/>
      <c r="O343" s="140"/>
      <c r="P343" s="128"/>
      <c r="Q343" s="130"/>
      <c r="R343" s="130"/>
      <c r="S343" s="173"/>
      <c r="T343" s="173"/>
      <c r="U343" s="184"/>
      <c r="AA343" s="49">
        <f t="shared" si="16"/>
        <v>0</v>
      </c>
      <c r="AB343" s="49">
        <f t="shared" si="17"/>
        <v>0</v>
      </c>
      <c r="AC343" s="131" t="e">
        <f t="shared" si="15"/>
        <v>#N/A</v>
      </c>
    </row>
    <row r="344" spans="2:29" x14ac:dyDescent="0.25">
      <c r="B344" s="127"/>
      <c r="C344" s="183"/>
      <c r="D344" s="128"/>
      <c r="E344" s="128"/>
      <c r="F344" s="128"/>
      <c r="G344" s="175"/>
      <c r="H344" s="175"/>
      <c r="I344" s="140"/>
      <c r="J344" s="175"/>
      <c r="K344" s="140"/>
      <c r="L344" s="175"/>
      <c r="M344" s="140"/>
      <c r="N344" s="175"/>
      <c r="O344" s="140"/>
      <c r="P344" s="128"/>
      <c r="Q344" s="130"/>
      <c r="R344" s="130"/>
      <c r="S344" s="173"/>
      <c r="T344" s="173"/>
      <c r="U344" s="184"/>
      <c r="AA344" s="49">
        <f t="shared" si="16"/>
        <v>0</v>
      </c>
      <c r="AB344" s="49">
        <f t="shared" si="17"/>
        <v>0</v>
      </c>
      <c r="AC344" s="131" t="e">
        <f t="shared" si="15"/>
        <v>#N/A</v>
      </c>
    </row>
    <row r="345" spans="2:29" x14ac:dyDescent="0.25">
      <c r="B345" s="127"/>
      <c r="C345" s="183"/>
      <c r="D345" s="128"/>
      <c r="E345" s="128"/>
      <c r="F345" s="128"/>
      <c r="G345" s="175"/>
      <c r="H345" s="175"/>
      <c r="I345" s="140"/>
      <c r="J345" s="175"/>
      <c r="K345" s="140"/>
      <c r="L345" s="175"/>
      <c r="M345" s="140"/>
      <c r="N345" s="175"/>
      <c r="O345" s="140"/>
      <c r="P345" s="128"/>
      <c r="Q345" s="130"/>
      <c r="R345" s="130"/>
      <c r="S345" s="173"/>
      <c r="T345" s="173"/>
      <c r="U345" s="184"/>
      <c r="AA345" s="49">
        <f t="shared" si="16"/>
        <v>0</v>
      </c>
      <c r="AB345" s="49">
        <f t="shared" si="17"/>
        <v>0</v>
      </c>
      <c r="AC345" s="131" t="e">
        <f t="shared" si="15"/>
        <v>#N/A</v>
      </c>
    </row>
    <row r="346" spans="2:29" x14ac:dyDescent="0.25">
      <c r="B346" s="127"/>
      <c r="C346" s="183"/>
      <c r="D346" s="128"/>
      <c r="E346" s="128"/>
      <c r="F346" s="128"/>
      <c r="G346" s="175"/>
      <c r="H346" s="175"/>
      <c r="I346" s="140"/>
      <c r="J346" s="175"/>
      <c r="K346" s="140"/>
      <c r="L346" s="175"/>
      <c r="M346" s="140"/>
      <c r="N346" s="175"/>
      <c r="O346" s="140"/>
      <c r="P346" s="128"/>
      <c r="Q346" s="130"/>
      <c r="R346" s="130"/>
      <c r="S346" s="173"/>
      <c r="T346" s="173"/>
      <c r="U346" s="184"/>
      <c r="AA346" s="49">
        <f t="shared" si="16"/>
        <v>0</v>
      </c>
      <c r="AB346" s="49">
        <f t="shared" si="17"/>
        <v>0</v>
      </c>
      <c r="AC346" s="131" t="e">
        <f t="shared" si="15"/>
        <v>#N/A</v>
      </c>
    </row>
    <row r="347" spans="2:29" x14ac:dyDescent="0.25">
      <c r="B347" s="127"/>
      <c r="C347" s="183"/>
      <c r="D347" s="128"/>
      <c r="E347" s="128"/>
      <c r="F347" s="128"/>
      <c r="G347" s="175"/>
      <c r="H347" s="175"/>
      <c r="I347" s="140"/>
      <c r="J347" s="175"/>
      <c r="K347" s="140"/>
      <c r="L347" s="175"/>
      <c r="M347" s="140"/>
      <c r="N347" s="175"/>
      <c r="O347" s="140"/>
      <c r="P347" s="128"/>
      <c r="Q347" s="130"/>
      <c r="R347" s="130"/>
      <c r="S347" s="173"/>
      <c r="T347" s="173"/>
      <c r="U347" s="184"/>
      <c r="AA347" s="49">
        <f t="shared" si="16"/>
        <v>0</v>
      </c>
      <c r="AB347" s="49">
        <f t="shared" si="17"/>
        <v>0</v>
      </c>
      <c r="AC347" s="131" t="e">
        <f t="shared" si="15"/>
        <v>#N/A</v>
      </c>
    </row>
    <row r="348" spans="2:29" x14ac:dyDescent="0.25">
      <c r="B348" s="127"/>
      <c r="C348" s="183"/>
      <c r="D348" s="128"/>
      <c r="E348" s="128"/>
      <c r="F348" s="128"/>
      <c r="G348" s="175"/>
      <c r="H348" s="175"/>
      <c r="I348" s="140"/>
      <c r="J348" s="175"/>
      <c r="K348" s="140"/>
      <c r="L348" s="175"/>
      <c r="M348" s="140"/>
      <c r="N348" s="175"/>
      <c r="O348" s="140"/>
      <c r="P348" s="128"/>
      <c r="Q348" s="130"/>
      <c r="R348" s="130"/>
      <c r="S348" s="173"/>
      <c r="T348" s="173"/>
      <c r="U348" s="184"/>
      <c r="AA348" s="49">
        <f t="shared" si="16"/>
        <v>0</v>
      </c>
      <c r="AB348" s="49">
        <f t="shared" si="17"/>
        <v>0</v>
      </c>
      <c r="AC348" s="131" t="e">
        <f t="shared" si="15"/>
        <v>#N/A</v>
      </c>
    </row>
    <row r="349" spans="2:29" x14ac:dyDescent="0.25">
      <c r="B349" s="127"/>
      <c r="C349" s="183"/>
      <c r="D349" s="128"/>
      <c r="E349" s="128"/>
      <c r="F349" s="128"/>
      <c r="G349" s="175"/>
      <c r="H349" s="175"/>
      <c r="I349" s="140"/>
      <c r="J349" s="175"/>
      <c r="K349" s="140"/>
      <c r="L349" s="175"/>
      <c r="M349" s="140"/>
      <c r="N349" s="175"/>
      <c r="O349" s="140"/>
      <c r="P349" s="128"/>
      <c r="Q349" s="130"/>
      <c r="R349" s="130"/>
      <c r="S349" s="173"/>
      <c r="T349" s="173"/>
      <c r="U349" s="184"/>
      <c r="AA349" s="49">
        <f t="shared" si="16"/>
        <v>0</v>
      </c>
      <c r="AB349" s="49">
        <f t="shared" si="17"/>
        <v>0</v>
      </c>
      <c r="AC349" s="131" t="e">
        <f t="shared" si="15"/>
        <v>#N/A</v>
      </c>
    </row>
    <row r="350" spans="2:29" x14ac:dyDescent="0.25">
      <c r="B350" s="127"/>
      <c r="C350" s="183"/>
      <c r="D350" s="128"/>
      <c r="E350" s="128"/>
      <c r="F350" s="128"/>
      <c r="G350" s="175"/>
      <c r="H350" s="175"/>
      <c r="I350" s="140"/>
      <c r="J350" s="175"/>
      <c r="K350" s="140"/>
      <c r="L350" s="175"/>
      <c r="M350" s="140"/>
      <c r="N350" s="175"/>
      <c r="O350" s="140"/>
      <c r="P350" s="128"/>
      <c r="Q350" s="130"/>
      <c r="R350" s="130"/>
      <c r="S350" s="173"/>
      <c r="T350" s="173"/>
      <c r="U350" s="184"/>
      <c r="AA350" s="49">
        <f t="shared" si="16"/>
        <v>0</v>
      </c>
      <c r="AB350" s="49">
        <f t="shared" si="17"/>
        <v>0</v>
      </c>
      <c r="AC350" s="131" t="e">
        <f t="shared" si="15"/>
        <v>#N/A</v>
      </c>
    </row>
    <row r="351" spans="2:29" x14ac:dyDescent="0.25">
      <c r="B351" s="127"/>
      <c r="C351" s="183"/>
      <c r="D351" s="128"/>
      <c r="E351" s="128"/>
      <c r="F351" s="128"/>
      <c r="G351" s="175"/>
      <c r="H351" s="175"/>
      <c r="I351" s="140"/>
      <c r="J351" s="175"/>
      <c r="K351" s="140"/>
      <c r="L351" s="175"/>
      <c r="M351" s="140"/>
      <c r="N351" s="175"/>
      <c r="O351" s="140"/>
      <c r="P351" s="128"/>
      <c r="Q351" s="130"/>
      <c r="R351" s="130"/>
      <c r="S351" s="173"/>
      <c r="T351" s="173"/>
      <c r="U351" s="184"/>
      <c r="AA351" s="49">
        <f t="shared" si="16"/>
        <v>0</v>
      </c>
      <c r="AB351" s="49">
        <f t="shared" si="17"/>
        <v>0</v>
      </c>
      <c r="AC351" s="131" t="e">
        <f t="shared" si="15"/>
        <v>#N/A</v>
      </c>
    </row>
    <row r="352" spans="2:29" x14ac:dyDescent="0.25">
      <c r="B352" s="127"/>
      <c r="C352" s="183"/>
      <c r="D352" s="128"/>
      <c r="E352" s="128"/>
      <c r="F352" s="128"/>
      <c r="G352" s="175"/>
      <c r="H352" s="175"/>
      <c r="I352" s="140"/>
      <c r="J352" s="175"/>
      <c r="K352" s="140"/>
      <c r="L352" s="175"/>
      <c r="M352" s="140"/>
      <c r="N352" s="175"/>
      <c r="O352" s="140"/>
      <c r="P352" s="128"/>
      <c r="Q352" s="130"/>
      <c r="R352" s="130"/>
      <c r="S352" s="173"/>
      <c r="T352" s="173"/>
      <c r="U352" s="184"/>
      <c r="AA352" s="49">
        <f t="shared" si="16"/>
        <v>0</v>
      </c>
      <c r="AB352" s="49">
        <f t="shared" si="17"/>
        <v>0</v>
      </c>
      <c r="AC352" s="131" t="e">
        <f t="shared" si="15"/>
        <v>#N/A</v>
      </c>
    </row>
    <row r="353" spans="2:29" x14ac:dyDescent="0.25">
      <c r="B353" s="127"/>
      <c r="C353" s="183"/>
      <c r="D353" s="128"/>
      <c r="E353" s="128"/>
      <c r="F353" s="128"/>
      <c r="G353" s="175"/>
      <c r="H353" s="175"/>
      <c r="I353" s="140"/>
      <c r="J353" s="175"/>
      <c r="K353" s="140"/>
      <c r="L353" s="175"/>
      <c r="M353" s="140"/>
      <c r="N353" s="175"/>
      <c r="O353" s="140"/>
      <c r="P353" s="128"/>
      <c r="Q353" s="130"/>
      <c r="R353" s="130"/>
      <c r="S353" s="173"/>
      <c r="T353" s="173"/>
      <c r="U353" s="184"/>
      <c r="AA353" s="49">
        <f t="shared" si="16"/>
        <v>0</v>
      </c>
      <c r="AB353" s="49">
        <f t="shared" si="17"/>
        <v>0</v>
      </c>
      <c r="AC353" s="131" t="e">
        <f t="shared" si="15"/>
        <v>#N/A</v>
      </c>
    </row>
    <row r="354" spans="2:29" x14ac:dyDescent="0.25">
      <c r="B354" s="127"/>
      <c r="C354" s="183"/>
      <c r="D354" s="128"/>
      <c r="E354" s="128"/>
      <c r="F354" s="128"/>
      <c r="G354" s="175"/>
      <c r="H354" s="175"/>
      <c r="I354" s="140"/>
      <c r="J354" s="175"/>
      <c r="K354" s="140"/>
      <c r="L354" s="175"/>
      <c r="M354" s="140"/>
      <c r="N354" s="175"/>
      <c r="O354" s="140"/>
      <c r="P354" s="128"/>
      <c r="Q354" s="130"/>
      <c r="R354" s="130"/>
      <c r="S354" s="173"/>
      <c r="T354" s="173"/>
      <c r="U354" s="184"/>
      <c r="AA354" s="49">
        <f t="shared" si="16"/>
        <v>0</v>
      </c>
      <c r="AB354" s="49">
        <f t="shared" si="17"/>
        <v>0</v>
      </c>
      <c r="AC354" s="131" t="e">
        <f t="shared" si="15"/>
        <v>#N/A</v>
      </c>
    </row>
    <row r="355" spans="2:29" x14ac:dyDescent="0.25">
      <c r="B355" s="127"/>
      <c r="C355" s="183"/>
      <c r="D355" s="128"/>
      <c r="E355" s="128"/>
      <c r="F355" s="128"/>
      <c r="G355" s="175"/>
      <c r="H355" s="175"/>
      <c r="I355" s="140"/>
      <c r="J355" s="175"/>
      <c r="K355" s="140"/>
      <c r="L355" s="175"/>
      <c r="M355" s="140"/>
      <c r="N355" s="175"/>
      <c r="O355" s="140"/>
      <c r="P355" s="128"/>
      <c r="Q355" s="130"/>
      <c r="R355" s="130"/>
      <c r="S355" s="173"/>
      <c r="T355" s="173"/>
      <c r="U355" s="184"/>
      <c r="AA355" s="49">
        <f t="shared" si="16"/>
        <v>0</v>
      </c>
      <c r="AB355" s="49">
        <f t="shared" si="17"/>
        <v>0</v>
      </c>
      <c r="AC355" s="131" t="e">
        <f t="shared" si="15"/>
        <v>#N/A</v>
      </c>
    </row>
    <row r="356" spans="2:29" x14ac:dyDescent="0.25">
      <c r="B356" s="127"/>
      <c r="C356" s="183"/>
      <c r="D356" s="128"/>
      <c r="E356" s="128"/>
      <c r="F356" s="128"/>
      <c r="G356" s="175"/>
      <c r="H356" s="175"/>
      <c r="I356" s="140"/>
      <c r="J356" s="175"/>
      <c r="K356" s="140"/>
      <c r="L356" s="175"/>
      <c r="M356" s="140"/>
      <c r="N356" s="175"/>
      <c r="O356" s="140"/>
      <c r="P356" s="128"/>
      <c r="Q356" s="130"/>
      <c r="R356" s="130"/>
      <c r="S356" s="173"/>
      <c r="T356" s="173"/>
      <c r="U356" s="184"/>
      <c r="AA356" s="49">
        <f t="shared" si="16"/>
        <v>0</v>
      </c>
      <c r="AB356" s="49">
        <f t="shared" si="17"/>
        <v>0</v>
      </c>
      <c r="AC356" s="131" t="e">
        <f t="shared" si="15"/>
        <v>#N/A</v>
      </c>
    </row>
    <row r="357" spans="2:29" x14ac:dyDescent="0.25">
      <c r="B357" s="127"/>
      <c r="C357" s="183"/>
      <c r="D357" s="128"/>
      <c r="E357" s="128"/>
      <c r="F357" s="128"/>
      <c r="G357" s="175"/>
      <c r="H357" s="175"/>
      <c r="I357" s="140"/>
      <c r="J357" s="175"/>
      <c r="K357" s="140"/>
      <c r="L357" s="175"/>
      <c r="M357" s="140"/>
      <c r="N357" s="175"/>
      <c r="O357" s="140"/>
      <c r="P357" s="128"/>
      <c r="Q357" s="130"/>
      <c r="R357" s="130"/>
      <c r="S357" s="173"/>
      <c r="T357" s="173"/>
      <c r="U357" s="184"/>
      <c r="AA357" s="49">
        <f t="shared" si="16"/>
        <v>0</v>
      </c>
      <c r="AB357" s="49">
        <f t="shared" si="17"/>
        <v>0</v>
      </c>
      <c r="AC357" s="131" t="e">
        <f t="shared" si="15"/>
        <v>#N/A</v>
      </c>
    </row>
    <row r="358" spans="2:29" x14ac:dyDescent="0.25">
      <c r="B358" s="127"/>
      <c r="C358" s="183"/>
      <c r="D358" s="128"/>
      <c r="E358" s="128"/>
      <c r="F358" s="128"/>
      <c r="G358" s="175"/>
      <c r="H358" s="175"/>
      <c r="I358" s="140"/>
      <c r="J358" s="175"/>
      <c r="K358" s="140"/>
      <c r="L358" s="175"/>
      <c r="M358" s="140"/>
      <c r="N358" s="175"/>
      <c r="O358" s="140"/>
      <c r="P358" s="128"/>
      <c r="Q358" s="130"/>
      <c r="R358" s="130"/>
      <c r="S358" s="173"/>
      <c r="T358" s="173"/>
      <c r="U358" s="184"/>
      <c r="AA358" s="49">
        <f t="shared" si="16"/>
        <v>0</v>
      </c>
      <c r="AB358" s="49">
        <f t="shared" si="17"/>
        <v>0</v>
      </c>
      <c r="AC358" s="131" t="e">
        <f t="shared" si="15"/>
        <v>#N/A</v>
      </c>
    </row>
    <row r="359" spans="2:29" x14ac:dyDescent="0.25">
      <c r="B359" s="127"/>
      <c r="C359" s="183"/>
      <c r="D359" s="128"/>
      <c r="E359" s="128"/>
      <c r="F359" s="128"/>
      <c r="G359" s="175"/>
      <c r="H359" s="175"/>
      <c r="I359" s="140"/>
      <c r="J359" s="175"/>
      <c r="K359" s="140"/>
      <c r="L359" s="175"/>
      <c r="M359" s="140"/>
      <c r="N359" s="175"/>
      <c r="O359" s="140"/>
      <c r="P359" s="128"/>
      <c r="Q359" s="130"/>
      <c r="R359" s="130"/>
      <c r="S359" s="173"/>
      <c r="T359" s="173"/>
      <c r="U359" s="184"/>
      <c r="AA359" s="49">
        <f t="shared" si="16"/>
        <v>0</v>
      </c>
      <c r="AB359" s="49">
        <f t="shared" si="17"/>
        <v>0</v>
      </c>
      <c r="AC359" s="131" t="e">
        <f t="shared" si="15"/>
        <v>#N/A</v>
      </c>
    </row>
    <row r="360" spans="2:29" x14ac:dyDescent="0.25">
      <c r="B360" s="127"/>
      <c r="C360" s="183"/>
      <c r="D360" s="128"/>
      <c r="E360" s="128"/>
      <c r="F360" s="128"/>
      <c r="G360" s="175"/>
      <c r="H360" s="175"/>
      <c r="I360" s="140"/>
      <c r="J360" s="175"/>
      <c r="K360" s="140"/>
      <c r="L360" s="175"/>
      <c r="M360" s="140"/>
      <c r="N360" s="175"/>
      <c r="O360" s="140"/>
      <c r="P360" s="128"/>
      <c r="Q360" s="130"/>
      <c r="R360" s="130"/>
      <c r="S360" s="173"/>
      <c r="T360" s="173"/>
      <c r="U360" s="184"/>
      <c r="AA360" s="49">
        <f t="shared" si="16"/>
        <v>0</v>
      </c>
      <c r="AB360" s="49">
        <f t="shared" si="17"/>
        <v>0</v>
      </c>
      <c r="AC360" s="131" t="e">
        <f t="shared" si="15"/>
        <v>#N/A</v>
      </c>
    </row>
    <row r="361" spans="2:29" x14ac:dyDescent="0.25">
      <c r="B361" s="127"/>
      <c r="C361" s="183"/>
      <c r="D361" s="128"/>
      <c r="E361" s="128"/>
      <c r="F361" s="128"/>
      <c r="G361" s="175"/>
      <c r="H361" s="175"/>
      <c r="I361" s="140"/>
      <c r="J361" s="175"/>
      <c r="K361" s="140"/>
      <c r="L361" s="175"/>
      <c r="M361" s="140"/>
      <c r="N361" s="175"/>
      <c r="O361" s="140"/>
      <c r="P361" s="128"/>
      <c r="Q361" s="130"/>
      <c r="R361" s="130"/>
      <c r="S361" s="173"/>
      <c r="T361" s="173"/>
      <c r="U361" s="184"/>
      <c r="AA361" s="49">
        <f t="shared" si="16"/>
        <v>0</v>
      </c>
      <c r="AB361" s="49">
        <f t="shared" si="17"/>
        <v>0</v>
      </c>
      <c r="AC361" s="131" t="e">
        <f t="shared" si="15"/>
        <v>#N/A</v>
      </c>
    </row>
    <row r="362" spans="2:29" x14ac:dyDescent="0.25">
      <c r="B362" s="127"/>
      <c r="C362" s="183"/>
      <c r="D362" s="128"/>
      <c r="E362" s="128"/>
      <c r="F362" s="128"/>
      <c r="G362" s="175"/>
      <c r="H362" s="175"/>
      <c r="I362" s="140"/>
      <c r="J362" s="175"/>
      <c r="K362" s="140"/>
      <c r="L362" s="175"/>
      <c r="M362" s="140"/>
      <c r="N362" s="175"/>
      <c r="O362" s="140"/>
      <c r="P362" s="128"/>
      <c r="Q362" s="130"/>
      <c r="R362" s="130"/>
      <c r="S362" s="173"/>
      <c r="T362" s="173"/>
      <c r="U362" s="184"/>
      <c r="AA362" s="49">
        <f t="shared" si="16"/>
        <v>0</v>
      </c>
      <c r="AB362" s="49">
        <f t="shared" si="17"/>
        <v>0</v>
      </c>
      <c r="AC362" s="131" t="e">
        <f t="shared" si="15"/>
        <v>#N/A</v>
      </c>
    </row>
    <row r="363" spans="2:29" x14ac:dyDescent="0.25">
      <c r="B363" s="127"/>
      <c r="C363" s="183"/>
      <c r="D363" s="128"/>
      <c r="E363" s="128"/>
      <c r="F363" s="128"/>
      <c r="G363" s="175"/>
      <c r="H363" s="175"/>
      <c r="I363" s="140"/>
      <c r="J363" s="175"/>
      <c r="K363" s="140"/>
      <c r="L363" s="175"/>
      <c r="M363" s="140"/>
      <c r="N363" s="175"/>
      <c r="O363" s="140"/>
      <c r="P363" s="128"/>
      <c r="Q363" s="130"/>
      <c r="R363" s="130"/>
      <c r="S363" s="173"/>
      <c r="T363" s="173"/>
      <c r="U363" s="184"/>
      <c r="AA363" s="49">
        <f t="shared" si="16"/>
        <v>0</v>
      </c>
      <c r="AB363" s="49">
        <f t="shared" si="17"/>
        <v>0</v>
      </c>
      <c r="AC363" s="131" t="e">
        <f t="shared" si="15"/>
        <v>#N/A</v>
      </c>
    </row>
    <row r="364" spans="2:29" x14ac:dyDescent="0.25">
      <c r="B364" s="127"/>
      <c r="C364" s="183"/>
      <c r="D364" s="128"/>
      <c r="E364" s="128"/>
      <c r="F364" s="128"/>
      <c r="G364" s="175"/>
      <c r="H364" s="175"/>
      <c r="I364" s="140"/>
      <c r="J364" s="175"/>
      <c r="K364" s="140"/>
      <c r="L364" s="175"/>
      <c r="M364" s="140"/>
      <c r="N364" s="175"/>
      <c r="O364" s="140"/>
      <c r="P364" s="128"/>
      <c r="Q364" s="130"/>
      <c r="R364" s="130"/>
      <c r="S364" s="173"/>
      <c r="T364" s="173"/>
      <c r="U364" s="184"/>
      <c r="AA364" s="49">
        <f t="shared" si="16"/>
        <v>0</v>
      </c>
      <c r="AB364" s="49">
        <f t="shared" si="17"/>
        <v>0</v>
      </c>
      <c r="AC364" s="131" t="e">
        <f t="shared" si="15"/>
        <v>#N/A</v>
      </c>
    </row>
    <row r="365" spans="2:29" x14ac:dyDescent="0.25">
      <c r="B365" s="127"/>
      <c r="C365" s="183"/>
      <c r="D365" s="128"/>
      <c r="E365" s="128"/>
      <c r="F365" s="128"/>
      <c r="G365" s="175"/>
      <c r="H365" s="175"/>
      <c r="I365" s="140"/>
      <c r="J365" s="175"/>
      <c r="K365" s="140"/>
      <c r="L365" s="175"/>
      <c r="M365" s="140"/>
      <c r="N365" s="175"/>
      <c r="O365" s="140"/>
      <c r="P365" s="128"/>
      <c r="Q365" s="130"/>
      <c r="R365" s="130"/>
      <c r="S365" s="173"/>
      <c r="T365" s="173"/>
      <c r="U365" s="184"/>
      <c r="AA365" s="49">
        <f t="shared" si="16"/>
        <v>0</v>
      </c>
      <c r="AB365" s="49">
        <f t="shared" si="17"/>
        <v>0</v>
      </c>
      <c r="AC365" s="131" t="e">
        <f t="shared" si="15"/>
        <v>#N/A</v>
      </c>
    </row>
    <row r="366" spans="2:29" x14ac:dyDescent="0.25">
      <c r="B366" s="127"/>
      <c r="C366" s="183"/>
      <c r="D366" s="128"/>
      <c r="E366" s="128"/>
      <c r="F366" s="128"/>
      <c r="G366" s="175"/>
      <c r="H366" s="175"/>
      <c r="I366" s="140"/>
      <c r="J366" s="175"/>
      <c r="K366" s="140"/>
      <c r="L366" s="175"/>
      <c r="M366" s="140"/>
      <c r="N366" s="175"/>
      <c r="O366" s="140"/>
      <c r="P366" s="128"/>
      <c r="Q366" s="130"/>
      <c r="R366" s="130"/>
      <c r="S366" s="173"/>
      <c r="T366" s="173"/>
      <c r="U366" s="184"/>
      <c r="AA366" s="49">
        <f t="shared" si="16"/>
        <v>0</v>
      </c>
      <c r="AB366" s="49">
        <f t="shared" si="17"/>
        <v>0</v>
      </c>
      <c r="AC366" s="131" t="e">
        <f t="shared" si="15"/>
        <v>#N/A</v>
      </c>
    </row>
    <row r="367" spans="2:29" x14ac:dyDescent="0.25">
      <c r="B367" s="127"/>
      <c r="C367" s="183"/>
      <c r="D367" s="128"/>
      <c r="E367" s="128"/>
      <c r="F367" s="128"/>
      <c r="G367" s="175"/>
      <c r="H367" s="175"/>
      <c r="I367" s="140"/>
      <c r="J367" s="175"/>
      <c r="K367" s="140"/>
      <c r="L367" s="175"/>
      <c r="M367" s="140"/>
      <c r="N367" s="175"/>
      <c r="O367" s="140"/>
      <c r="P367" s="128"/>
      <c r="Q367" s="130"/>
      <c r="R367" s="130"/>
      <c r="S367" s="173"/>
      <c r="T367" s="173"/>
      <c r="U367" s="184"/>
      <c r="AA367" s="49">
        <f t="shared" si="16"/>
        <v>0</v>
      </c>
      <c r="AB367" s="49">
        <f t="shared" si="17"/>
        <v>0</v>
      </c>
      <c r="AC367" s="131" t="e">
        <f t="shared" si="15"/>
        <v>#N/A</v>
      </c>
    </row>
    <row r="368" spans="2:29" x14ac:dyDescent="0.25">
      <c r="B368" s="127"/>
      <c r="C368" s="183"/>
      <c r="D368" s="128"/>
      <c r="E368" s="128"/>
      <c r="F368" s="128"/>
      <c r="G368" s="175"/>
      <c r="H368" s="175"/>
      <c r="I368" s="140"/>
      <c r="J368" s="175"/>
      <c r="K368" s="140"/>
      <c r="L368" s="175"/>
      <c r="M368" s="140"/>
      <c r="N368" s="175"/>
      <c r="O368" s="140"/>
      <c r="P368" s="128"/>
      <c r="Q368" s="130"/>
      <c r="R368" s="130"/>
      <c r="S368" s="173"/>
      <c r="T368" s="173"/>
      <c r="U368" s="184"/>
      <c r="AA368" s="49">
        <f t="shared" si="16"/>
        <v>0</v>
      </c>
      <c r="AB368" s="49">
        <f t="shared" si="17"/>
        <v>0</v>
      </c>
      <c r="AC368" s="131" t="e">
        <f t="shared" si="15"/>
        <v>#N/A</v>
      </c>
    </row>
    <row r="369" spans="2:29" x14ac:dyDescent="0.25">
      <c r="B369" s="127"/>
      <c r="C369" s="183"/>
      <c r="D369" s="128"/>
      <c r="E369" s="128"/>
      <c r="F369" s="128"/>
      <c r="G369" s="175"/>
      <c r="H369" s="175"/>
      <c r="I369" s="140"/>
      <c r="J369" s="175"/>
      <c r="K369" s="140"/>
      <c r="L369" s="175"/>
      <c r="M369" s="140"/>
      <c r="N369" s="175"/>
      <c r="O369" s="140"/>
      <c r="P369" s="128"/>
      <c r="Q369" s="130"/>
      <c r="R369" s="130"/>
      <c r="S369" s="173"/>
      <c r="T369" s="173"/>
      <c r="U369" s="184"/>
      <c r="AA369" s="49">
        <f t="shared" si="16"/>
        <v>0</v>
      </c>
      <c r="AB369" s="49">
        <f t="shared" si="17"/>
        <v>0</v>
      </c>
      <c r="AC369" s="131" t="e">
        <f t="shared" si="15"/>
        <v>#N/A</v>
      </c>
    </row>
    <row r="370" spans="2:29" x14ac:dyDescent="0.25">
      <c r="B370" s="127"/>
      <c r="C370" s="183"/>
      <c r="D370" s="128"/>
      <c r="E370" s="128"/>
      <c r="F370" s="128"/>
      <c r="G370" s="175"/>
      <c r="H370" s="175"/>
      <c r="I370" s="140"/>
      <c r="J370" s="175"/>
      <c r="K370" s="140"/>
      <c r="L370" s="175"/>
      <c r="M370" s="140"/>
      <c r="N370" s="175"/>
      <c r="O370" s="140"/>
      <c r="P370" s="128"/>
      <c r="Q370" s="130"/>
      <c r="R370" s="130"/>
      <c r="S370" s="173"/>
      <c r="T370" s="173"/>
      <c r="U370" s="184"/>
      <c r="AA370" s="49">
        <f t="shared" si="16"/>
        <v>0</v>
      </c>
      <c r="AB370" s="49">
        <f t="shared" si="17"/>
        <v>0</v>
      </c>
      <c r="AC370" s="131" t="e">
        <f t="shared" si="15"/>
        <v>#N/A</v>
      </c>
    </row>
    <row r="371" spans="2:29" x14ac:dyDescent="0.25">
      <c r="B371" s="127"/>
      <c r="C371" s="183"/>
      <c r="D371" s="128"/>
      <c r="E371" s="128"/>
      <c r="F371" s="128"/>
      <c r="G371" s="175"/>
      <c r="H371" s="175"/>
      <c r="I371" s="140"/>
      <c r="J371" s="175"/>
      <c r="K371" s="140"/>
      <c r="L371" s="175"/>
      <c r="M371" s="140"/>
      <c r="N371" s="175"/>
      <c r="O371" s="140"/>
      <c r="P371" s="128"/>
      <c r="Q371" s="130"/>
      <c r="R371" s="130"/>
      <c r="S371" s="173"/>
      <c r="T371" s="173"/>
      <c r="U371" s="184"/>
      <c r="AA371" s="49">
        <f t="shared" si="16"/>
        <v>0</v>
      </c>
      <c r="AB371" s="49">
        <f t="shared" si="17"/>
        <v>0</v>
      </c>
      <c r="AC371" s="131" t="e">
        <f t="shared" si="15"/>
        <v>#N/A</v>
      </c>
    </row>
    <row r="372" spans="2:29" x14ac:dyDescent="0.25">
      <c r="B372" s="127"/>
      <c r="C372" s="183"/>
      <c r="D372" s="128"/>
      <c r="E372" s="128"/>
      <c r="F372" s="128"/>
      <c r="G372" s="175"/>
      <c r="H372" s="175"/>
      <c r="I372" s="140"/>
      <c r="J372" s="175"/>
      <c r="K372" s="140"/>
      <c r="L372" s="175"/>
      <c r="M372" s="140"/>
      <c r="N372" s="175"/>
      <c r="O372" s="140"/>
      <c r="P372" s="128"/>
      <c r="Q372" s="130"/>
      <c r="R372" s="130"/>
      <c r="S372" s="173"/>
      <c r="T372" s="173"/>
      <c r="U372" s="184"/>
      <c r="AA372" s="49">
        <f t="shared" si="16"/>
        <v>0</v>
      </c>
      <c r="AB372" s="49">
        <f t="shared" si="17"/>
        <v>0</v>
      </c>
      <c r="AC372" s="131" t="e">
        <f t="shared" si="15"/>
        <v>#N/A</v>
      </c>
    </row>
    <row r="373" spans="2:29" x14ac:dyDescent="0.25">
      <c r="B373" s="127"/>
      <c r="C373" s="183"/>
      <c r="D373" s="128"/>
      <c r="E373" s="128"/>
      <c r="F373" s="128"/>
      <c r="G373" s="175"/>
      <c r="H373" s="175"/>
      <c r="I373" s="140"/>
      <c r="J373" s="175"/>
      <c r="K373" s="140"/>
      <c r="L373" s="175"/>
      <c r="M373" s="140"/>
      <c r="N373" s="175"/>
      <c r="O373" s="140"/>
      <c r="P373" s="128"/>
      <c r="Q373" s="130"/>
      <c r="R373" s="130"/>
      <c r="S373" s="173"/>
      <c r="T373" s="173"/>
      <c r="U373" s="184"/>
      <c r="AA373" s="49">
        <f t="shared" si="16"/>
        <v>0</v>
      </c>
      <c r="AB373" s="49">
        <f t="shared" si="17"/>
        <v>0</v>
      </c>
      <c r="AC373" s="131" t="e">
        <f t="shared" si="15"/>
        <v>#N/A</v>
      </c>
    </row>
    <row r="374" spans="2:29" x14ac:dyDescent="0.25">
      <c r="B374" s="127"/>
      <c r="C374" s="183"/>
      <c r="D374" s="128"/>
      <c r="E374" s="128"/>
      <c r="F374" s="128"/>
      <c r="G374" s="175"/>
      <c r="H374" s="175"/>
      <c r="I374" s="140"/>
      <c r="J374" s="175"/>
      <c r="K374" s="140"/>
      <c r="L374" s="175"/>
      <c r="M374" s="140"/>
      <c r="N374" s="175"/>
      <c r="O374" s="140"/>
      <c r="P374" s="128"/>
      <c r="Q374" s="130"/>
      <c r="R374" s="130"/>
      <c r="S374" s="173"/>
      <c r="T374" s="173"/>
      <c r="U374" s="184"/>
      <c r="AA374" s="49">
        <f t="shared" si="16"/>
        <v>0</v>
      </c>
      <c r="AB374" s="49">
        <f t="shared" si="17"/>
        <v>0</v>
      </c>
      <c r="AC374" s="131" t="e">
        <f t="shared" si="15"/>
        <v>#N/A</v>
      </c>
    </row>
    <row r="375" spans="2:29" x14ac:dyDescent="0.25">
      <c r="B375" s="127"/>
      <c r="C375" s="183"/>
      <c r="D375" s="128"/>
      <c r="E375" s="128"/>
      <c r="F375" s="128"/>
      <c r="G375" s="175"/>
      <c r="H375" s="175"/>
      <c r="I375" s="140"/>
      <c r="J375" s="175"/>
      <c r="K375" s="140"/>
      <c r="L375" s="175"/>
      <c r="M375" s="140"/>
      <c r="N375" s="175"/>
      <c r="O375" s="140"/>
      <c r="P375" s="128"/>
      <c r="Q375" s="130"/>
      <c r="R375" s="130"/>
      <c r="S375" s="173"/>
      <c r="T375" s="173"/>
      <c r="U375" s="184"/>
      <c r="AA375" s="49">
        <f t="shared" si="16"/>
        <v>0</v>
      </c>
      <c r="AB375" s="49">
        <f t="shared" si="17"/>
        <v>0</v>
      </c>
      <c r="AC375" s="131" t="e">
        <f t="shared" si="15"/>
        <v>#N/A</v>
      </c>
    </row>
    <row r="376" spans="2:29" x14ac:dyDescent="0.25">
      <c r="B376" s="127"/>
      <c r="C376" s="183"/>
      <c r="D376" s="128"/>
      <c r="E376" s="128"/>
      <c r="F376" s="128"/>
      <c r="G376" s="175"/>
      <c r="H376" s="175"/>
      <c r="I376" s="140"/>
      <c r="J376" s="175"/>
      <c r="K376" s="140"/>
      <c r="L376" s="175"/>
      <c r="M376" s="140"/>
      <c r="N376" s="175"/>
      <c r="O376" s="140"/>
      <c r="P376" s="128"/>
      <c r="Q376" s="130"/>
      <c r="R376" s="130"/>
      <c r="S376" s="173"/>
      <c r="T376" s="173"/>
      <c r="U376" s="184"/>
      <c r="AA376" s="49">
        <f t="shared" si="16"/>
        <v>0</v>
      </c>
      <c r="AB376" s="49">
        <f t="shared" si="17"/>
        <v>0</v>
      </c>
      <c r="AC376" s="131" t="e">
        <f t="shared" si="15"/>
        <v>#N/A</v>
      </c>
    </row>
    <row r="377" spans="2:29" x14ac:dyDescent="0.25">
      <c r="B377" s="127"/>
      <c r="C377" s="183"/>
      <c r="D377" s="128"/>
      <c r="E377" s="128"/>
      <c r="F377" s="128"/>
      <c r="G377" s="175"/>
      <c r="H377" s="175"/>
      <c r="I377" s="140"/>
      <c r="J377" s="175"/>
      <c r="K377" s="140"/>
      <c r="L377" s="175"/>
      <c r="M377" s="140"/>
      <c r="N377" s="175"/>
      <c r="O377" s="140"/>
      <c r="P377" s="128"/>
      <c r="Q377" s="130"/>
      <c r="R377" s="130"/>
      <c r="S377" s="173"/>
      <c r="T377" s="173"/>
      <c r="U377" s="184"/>
      <c r="AA377" s="49">
        <f t="shared" si="16"/>
        <v>0</v>
      </c>
      <c r="AB377" s="49">
        <f t="shared" si="17"/>
        <v>0</v>
      </c>
      <c r="AC377" s="131" t="e">
        <f t="shared" si="15"/>
        <v>#N/A</v>
      </c>
    </row>
    <row r="378" spans="2:29" x14ac:dyDescent="0.25">
      <c r="B378" s="127"/>
      <c r="C378" s="183"/>
      <c r="D378" s="128"/>
      <c r="E378" s="128"/>
      <c r="F378" s="128"/>
      <c r="G378" s="175"/>
      <c r="H378" s="175"/>
      <c r="I378" s="140"/>
      <c r="J378" s="175"/>
      <c r="K378" s="140"/>
      <c r="L378" s="175"/>
      <c r="M378" s="140"/>
      <c r="N378" s="175"/>
      <c r="O378" s="140"/>
      <c r="P378" s="128"/>
      <c r="Q378" s="130"/>
      <c r="R378" s="130"/>
      <c r="S378" s="173"/>
      <c r="T378" s="173"/>
      <c r="U378" s="184"/>
      <c r="AA378" s="49">
        <f t="shared" si="16"/>
        <v>0</v>
      </c>
      <c r="AB378" s="49">
        <f t="shared" si="17"/>
        <v>0</v>
      </c>
      <c r="AC378" s="131" t="e">
        <f t="shared" si="15"/>
        <v>#N/A</v>
      </c>
    </row>
    <row r="379" spans="2:29" x14ac:dyDescent="0.25">
      <c r="B379" s="127"/>
      <c r="C379" s="183"/>
      <c r="D379" s="128"/>
      <c r="E379" s="128"/>
      <c r="F379" s="128"/>
      <c r="G379" s="175"/>
      <c r="H379" s="175"/>
      <c r="I379" s="140"/>
      <c r="J379" s="175"/>
      <c r="K379" s="140"/>
      <c r="L379" s="175"/>
      <c r="M379" s="140"/>
      <c r="N379" s="175"/>
      <c r="O379" s="140"/>
      <c r="P379" s="128"/>
      <c r="Q379" s="130"/>
      <c r="R379" s="130"/>
      <c r="S379" s="173"/>
      <c r="T379" s="173"/>
      <c r="U379" s="184"/>
      <c r="AA379" s="49">
        <f t="shared" si="16"/>
        <v>0</v>
      </c>
      <c r="AB379" s="49">
        <f t="shared" si="17"/>
        <v>0</v>
      </c>
      <c r="AC379" s="131" t="e">
        <f t="shared" si="15"/>
        <v>#N/A</v>
      </c>
    </row>
    <row r="380" spans="2:29" x14ac:dyDescent="0.25">
      <c r="B380" s="127"/>
      <c r="C380" s="183"/>
      <c r="D380" s="128"/>
      <c r="E380" s="128"/>
      <c r="F380" s="128"/>
      <c r="G380" s="175"/>
      <c r="H380" s="175"/>
      <c r="I380" s="140"/>
      <c r="J380" s="175"/>
      <c r="K380" s="140"/>
      <c r="L380" s="175"/>
      <c r="M380" s="140"/>
      <c r="N380" s="175"/>
      <c r="O380" s="140"/>
      <c r="P380" s="128"/>
      <c r="Q380" s="130"/>
      <c r="R380" s="130"/>
      <c r="S380" s="173"/>
      <c r="T380" s="173"/>
      <c r="U380" s="184"/>
      <c r="AA380" s="49">
        <f t="shared" si="16"/>
        <v>0</v>
      </c>
      <c r="AB380" s="49">
        <f t="shared" si="17"/>
        <v>0</v>
      </c>
      <c r="AC380" s="131" t="e">
        <f t="shared" si="15"/>
        <v>#N/A</v>
      </c>
    </row>
    <row r="381" spans="2:29" x14ac:dyDescent="0.25">
      <c r="B381" s="127"/>
      <c r="C381" s="183"/>
      <c r="D381" s="128"/>
      <c r="E381" s="128"/>
      <c r="F381" s="128"/>
      <c r="G381" s="175"/>
      <c r="H381" s="175"/>
      <c r="I381" s="140"/>
      <c r="J381" s="175"/>
      <c r="K381" s="140"/>
      <c r="L381" s="175"/>
      <c r="M381" s="140"/>
      <c r="N381" s="175"/>
      <c r="O381" s="140"/>
      <c r="P381" s="128"/>
      <c r="Q381" s="130"/>
      <c r="R381" s="130"/>
      <c r="S381" s="173"/>
      <c r="T381" s="173"/>
      <c r="U381" s="184"/>
      <c r="AA381" s="49">
        <f t="shared" si="16"/>
        <v>0</v>
      </c>
      <c r="AB381" s="49">
        <f t="shared" si="17"/>
        <v>0</v>
      </c>
      <c r="AC381" s="131" t="e">
        <f t="shared" si="15"/>
        <v>#N/A</v>
      </c>
    </row>
    <row r="382" spans="2:29" x14ac:dyDescent="0.25">
      <c r="B382" s="127"/>
      <c r="C382" s="183"/>
      <c r="D382" s="128"/>
      <c r="E382" s="128"/>
      <c r="F382" s="128"/>
      <c r="G382" s="175"/>
      <c r="H382" s="175"/>
      <c r="I382" s="140"/>
      <c r="J382" s="175"/>
      <c r="K382" s="140"/>
      <c r="L382" s="175"/>
      <c r="M382" s="140"/>
      <c r="N382" s="175"/>
      <c r="O382" s="140"/>
      <c r="P382" s="128"/>
      <c r="Q382" s="130"/>
      <c r="R382" s="130"/>
      <c r="S382" s="173"/>
      <c r="T382" s="173"/>
      <c r="U382" s="184"/>
      <c r="AA382" s="49">
        <f t="shared" si="16"/>
        <v>0</v>
      </c>
      <c r="AB382" s="49">
        <f t="shared" si="17"/>
        <v>0</v>
      </c>
      <c r="AC382" s="131" t="e">
        <f t="shared" si="15"/>
        <v>#N/A</v>
      </c>
    </row>
    <row r="383" spans="2:29" x14ac:dyDescent="0.25">
      <c r="B383" s="127"/>
      <c r="C383" s="183"/>
      <c r="D383" s="128"/>
      <c r="E383" s="128"/>
      <c r="F383" s="128"/>
      <c r="G383" s="175"/>
      <c r="H383" s="175"/>
      <c r="I383" s="140"/>
      <c r="J383" s="175"/>
      <c r="K383" s="140"/>
      <c r="L383" s="175"/>
      <c r="M383" s="140"/>
      <c r="N383" s="175"/>
      <c r="O383" s="140"/>
      <c r="P383" s="128"/>
      <c r="Q383" s="130"/>
      <c r="R383" s="130"/>
      <c r="S383" s="173"/>
      <c r="T383" s="173"/>
      <c r="U383" s="184"/>
      <c r="AA383" s="49">
        <f t="shared" si="16"/>
        <v>0</v>
      </c>
      <c r="AB383" s="49">
        <f t="shared" si="17"/>
        <v>0</v>
      </c>
      <c r="AC383" s="131" t="e">
        <f t="shared" si="15"/>
        <v>#N/A</v>
      </c>
    </row>
    <row r="384" spans="2:29" x14ac:dyDescent="0.25">
      <c r="B384" s="127"/>
      <c r="C384" s="183"/>
      <c r="D384" s="128"/>
      <c r="E384" s="128"/>
      <c r="F384" s="128"/>
      <c r="G384" s="175"/>
      <c r="H384" s="175"/>
      <c r="I384" s="140"/>
      <c r="J384" s="175"/>
      <c r="K384" s="140"/>
      <c r="L384" s="175"/>
      <c r="M384" s="140"/>
      <c r="N384" s="175"/>
      <c r="O384" s="140"/>
      <c r="P384" s="128"/>
      <c r="Q384" s="130"/>
      <c r="R384" s="130"/>
      <c r="S384" s="173"/>
      <c r="T384" s="173"/>
      <c r="U384" s="184"/>
      <c r="AA384" s="49">
        <f t="shared" si="16"/>
        <v>0</v>
      </c>
      <c r="AB384" s="49">
        <f t="shared" si="17"/>
        <v>0</v>
      </c>
      <c r="AC384" s="131" t="e">
        <f t="shared" si="15"/>
        <v>#N/A</v>
      </c>
    </row>
    <row r="385" spans="2:29" x14ac:dyDescent="0.25">
      <c r="B385" s="127"/>
      <c r="C385" s="183"/>
      <c r="D385" s="128"/>
      <c r="E385" s="128"/>
      <c r="F385" s="128"/>
      <c r="G385" s="175"/>
      <c r="H385" s="175"/>
      <c r="I385" s="140"/>
      <c r="J385" s="175"/>
      <c r="K385" s="140"/>
      <c r="L385" s="175"/>
      <c r="M385" s="140"/>
      <c r="N385" s="175"/>
      <c r="O385" s="140"/>
      <c r="P385" s="128"/>
      <c r="Q385" s="130"/>
      <c r="R385" s="130"/>
      <c r="S385" s="173"/>
      <c r="T385" s="173"/>
      <c r="U385" s="184"/>
      <c r="AA385" s="49">
        <f t="shared" si="16"/>
        <v>0</v>
      </c>
      <c r="AB385" s="49">
        <f t="shared" si="17"/>
        <v>0</v>
      </c>
      <c r="AC385" s="131" t="e">
        <f t="shared" si="15"/>
        <v>#N/A</v>
      </c>
    </row>
    <row r="386" spans="2:29" x14ac:dyDescent="0.25">
      <c r="B386" s="127"/>
      <c r="C386" s="183"/>
      <c r="D386" s="128"/>
      <c r="E386" s="128"/>
      <c r="F386" s="128"/>
      <c r="G386" s="175"/>
      <c r="H386" s="175"/>
      <c r="I386" s="140"/>
      <c r="J386" s="175"/>
      <c r="K386" s="140"/>
      <c r="L386" s="175"/>
      <c r="M386" s="140"/>
      <c r="N386" s="175"/>
      <c r="O386" s="140"/>
      <c r="P386" s="128"/>
      <c r="Q386" s="130"/>
      <c r="R386" s="130"/>
      <c r="S386" s="173"/>
      <c r="T386" s="173"/>
      <c r="U386" s="184"/>
      <c r="AA386" s="49">
        <f t="shared" si="16"/>
        <v>0</v>
      </c>
      <c r="AB386" s="49">
        <f t="shared" si="17"/>
        <v>0</v>
      </c>
      <c r="AC386" s="131" t="e">
        <f t="shared" si="15"/>
        <v>#N/A</v>
      </c>
    </row>
    <row r="387" spans="2:29" x14ac:dyDescent="0.25">
      <c r="B387" s="127"/>
      <c r="C387" s="183"/>
      <c r="D387" s="128"/>
      <c r="E387" s="128"/>
      <c r="F387" s="128"/>
      <c r="G387" s="175"/>
      <c r="H387" s="175"/>
      <c r="I387" s="140"/>
      <c r="J387" s="175"/>
      <c r="K387" s="140"/>
      <c r="L387" s="175"/>
      <c r="M387" s="140"/>
      <c r="N387" s="175"/>
      <c r="O387" s="140"/>
      <c r="P387" s="128"/>
      <c r="Q387" s="130"/>
      <c r="R387" s="130"/>
      <c r="S387" s="173"/>
      <c r="T387" s="173"/>
      <c r="U387" s="184"/>
      <c r="AA387" s="49">
        <f t="shared" si="16"/>
        <v>0</v>
      </c>
      <c r="AB387" s="49">
        <f t="shared" si="17"/>
        <v>0</v>
      </c>
      <c r="AC387" s="131" t="e">
        <f t="shared" si="15"/>
        <v>#N/A</v>
      </c>
    </row>
    <row r="388" spans="2:29" x14ac:dyDescent="0.25">
      <c r="B388" s="127"/>
      <c r="C388" s="183"/>
      <c r="D388" s="128"/>
      <c r="E388" s="128"/>
      <c r="F388" s="128"/>
      <c r="G388" s="175"/>
      <c r="H388" s="175"/>
      <c r="I388" s="140"/>
      <c r="J388" s="175"/>
      <c r="K388" s="140"/>
      <c r="L388" s="175"/>
      <c r="M388" s="140"/>
      <c r="N388" s="175"/>
      <c r="O388" s="140"/>
      <c r="P388" s="128"/>
      <c r="Q388" s="130"/>
      <c r="R388" s="130"/>
      <c r="S388" s="173"/>
      <c r="T388" s="173"/>
      <c r="U388" s="184"/>
      <c r="AA388" s="49">
        <f t="shared" si="16"/>
        <v>0</v>
      </c>
      <c r="AB388" s="49">
        <f t="shared" si="17"/>
        <v>0</v>
      </c>
      <c r="AC388" s="131" t="e">
        <f t="shared" si="15"/>
        <v>#N/A</v>
      </c>
    </row>
    <row r="389" spans="2:29" x14ac:dyDescent="0.25">
      <c r="B389" s="127"/>
      <c r="C389" s="183"/>
      <c r="D389" s="128"/>
      <c r="E389" s="128"/>
      <c r="F389" s="128"/>
      <c r="G389" s="175"/>
      <c r="H389" s="175"/>
      <c r="I389" s="140"/>
      <c r="J389" s="175"/>
      <c r="K389" s="140"/>
      <c r="L389" s="175"/>
      <c r="M389" s="140"/>
      <c r="N389" s="175"/>
      <c r="O389" s="140"/>
      <c r="P389" s="128"/>
      <c r="Q389" s="130"/>
      <c r="R389" s="130"/>
      <c r="S389" s="173"/>
      <c r="T389" s="173"/>
      <c r="U389" s="184"/>
      <c r="AA389" s="49">
        <f t="shared" si="16"/>
        <v>0</v>
      </c>
      <c r="AB389" s="49">
        <f t="shared" si="17"/>
        <v>0</v>
      </c>
      <c r="AC389" s="131" t="e">
        <f t="shared" si="15"/>
        <v>#N/A</v>
      </c>
    </row>
    <row r="390" spans="2:29" x14ac:dyDescent="0.25">
      <c r="B390" s="127"/>
      <c r="C390" s="183"/>
      <c r="D390" s="128"/>
      <c r="E390" s="128"/>
      <c r="F390" s="128"/>
      <c r="G390" s="175"/>
      <c r="H390" s="175"/>
      <c r="I390" s="140"/>
      <c r="J390" s="175"/>
      <c r="K390" s="140"/>
      <c r="L390" s="175"/>
      <c r="M390" s="140"/>
      <c r="N390" s="175"/>
      <c r="O390" s="140"/>
      <c r="P390" s="128"/>
      <c r="Q390" s="130"/>
      <c r="R390" s="130"/>
      <c r="S390" s="173"/>
      <c r="T390" s="173"/>
      <c r="U390" s="184"/>
      <c r="AA390" s="49">
        <f t="shared" si="16"/>
        <v>0</v>
      </c>
      <c r="AB390" s="49">
        <f t="shared" si="17"/>
        <v>0</v>
      </c>
      <c r="AC390" s="131" t="e">
        <f t="shared" si="15"/>
        <v>#N/A</v>
      </c>
    </row>
    <row r="391" spans="2:29" x14ac:dyDescent="0.25">
      <c r="B391" s="127"/>
      <c r="C391" s="183"/>
      <c r="D391" s="128"/>
      <c r="E391" s="128"/>
      <c r="F391" s="128"/>
      <c r="G391" s="175"/>
      <c r="H391" s="175"/>
      <c r="I391" s="140"/>
      <c r="J391" s="175"/>
      <c r="K391" s="140"/>
      <c r="L391" s="175"/>
      <c r="M391" s="140"/>
      <c r="N391" s="175"/>
      <c r="O391" s="140"/>
      <c r="P391" s="128"/>
      <c r="Q391" s="130"/>
      <c r="R391" s="130"/>
      <c r="S391" s="173"/>
      <c r="T391" s="173"/>
      <c r="U391" s="184"/>
      <c r="AA391" s="49">
        <f t="shared" si="16"/>
        <v>0</v>
      </c>
      <c r="AB391" s="49">
        <f t="shared" si="17"/>
        <v>0</v>
      </c>
      <c r="AC391" s="131" t="e">
        <f t="shared" si="15"/>
        <v>#N/A</v>
      </c>
    </row>
    <row r="392" spans="2:29" x14ac:dyDescent="0.25">
      <c r="B392" s="127"/>
      <c r="C392" s="183"/>
      <c r="D392" s="128"/>
      <c r="E392" s="128"/>
      <c r="F392" s="128"/>
      <c r="G392" s="175"/>
      <c r="H392" s="175"/>
      <c r="I392" s="140"/>
      <c r="J392" s="175"/>
      <c r="K392" s="140"/>
      <c r="L392" s="175"/>
      <c r="M392" s="140"/>
      <c r="N392" s="175"/>
      <c r="O392" s="140"/>
      <c r="P392" s="128"/>
      <c r="Q392" s="130"/>
      <c r="R392" s="130"/>
      <c r="S392" s="173"/>
      <c r="T392" s="173"/>
      <c r="U392" s="184"/>
      <c r="AA392" s="49">
        <f t="shared" si="16"/>
        <v>0</v>
      </c>
      <c r="AB392" s="49">
        <f t="shared" si="17"/>
        <v>0</v>
      </c>
      <c r="AC392" s="131" t="e">
        <f t="shared" si="15"/>
        <v>#N/A</v>
      </c>
    </row>
    <row r="393" spans="2:29" x14ac:dyDescent="0.25">
      <c r="B393" s="127"/>
      <c r="C393" s="183"/>
      <c r="D393" s="128"/>
      <c r="E393" s="128"/>
      <c r="F393" s="128"/>
      <c r="G393" s="175"/>
      <c r="H393" s="175"/>
      <c r="I393" s="140"/>
      <c r="J393" s="175"/>
      <c r="K393" s="140"/>
      <c r="L393" s="175"/>
      <c r="M393" s="140"/>
      <c r="N393" s="175"/>
      <c r="O393" s="140"/>
      <c r="P393" s="128"/>
      <c r="Q393" s="130"/>
      <c r="R393" s="130"/>
      <c r="S393" s="173"/>
      <c r="T393" s="173"/>
      <c r="U393" s="184"/>
      <c r="AA393" s="49">
        <f t="shared" si="16"/>
        <v>0</v>
      </c>
      <c r="AB393" s="49">
        <f t="shared" si="17"/>
        <v>0</v>
      </c>
      <c r="AC393" s="131" t="e">
        <f t="shared" si="15"/>
        <v>#N/A</v>
      </c>
    </row>
    <row r="394" spans="2:29" x14ac:dyDescent="0.25">
      <c r="B394" s="127"/>
      <c r="C394" s="183"/>
      <c r="D394" s="128"/>
      <c r="E394" s="128"/>
      <c r="F394" s="128"/>
      <c r="G394" s="175"/>
      <c r="H394" s="175"/>
      <c r="I394" s="140"/>
      <c r="J394" s="175"/>
      <c r="K394" s="140"/>
      <c r="L394" s="175"/>
      <c r="M394" s="140"/>
      <c r="N394" s="175"/>
      <c r="O394" s="140"/>
      <c r="P394" s="128"/>
      <c r="Q394" s="130"/>
      <c r="R394" s="130"/>
      <c r="S394" s="173"/>
      <c r="T394" s="173"/>
      <c r="U394" s="184"/>
      <c r="AA394" s="49">
        <f t="shared" si="16"/>
        <v>0</v>
      </c>
      <c r="AB394" s="49">
        <f t="shared" si="17"/>
        <v>0</v>
      </c>
      <c r="AC394" s="131" t="e">
        <f t="shared" si="15"/>
        <v>#N/A</v>
      </c>
    </row>
    <row r="395" spans="2:29" x14ac:dyDescent="0.25">
      <c r="B395" s="127"/>
      <c r="C395" s="183"/>
      <c r="D395" s="128"/>
      <c r="E395" s="128"/>
      <c r="F395" s="128"/>
      <c r="G395" s="175"/>
      <c r="H395" s="175"/>
      <c r="I395" s="140"/>
      <c r="J395" s="175"/>
      <c r="K395" s="140"/>
      <c r="L395" s="175"/>
      <c r="M395" s="140"/>
      <c r="N395" s="175"/>
      <c r="O395" s="140"/>
      <c r="P395" s="128"/>
      <c r="Q395" s="130"/>
      <c r="R395" s="130"/>
      <c r="S395" s="173"/>
      <c r="T395" s="173"/>
      <c r="U395" s="184"/>
      <c r="AA395" s="49">
        <f t="shared" si="16"/>
        <v>0</v>
      </c>
      <c r="AB395" s="49">
        <f t="shared" si="17"/>
        <v>0</v>
      </c>
      <c r="AC395" s="131" t="e">
        <f t="shared" si="15"/>
        <v>#N/A</v>
      </c>
    </row>
    <row r="396" spans="2:29" x14ac:dyDescent="0.25">
      <c r="B396" s="127"/>
      <c r="C396" s="183"/>
      <c r="D396" s="128"/>
      <c r="E396" s="128"/>
      <c r="F396" s="128"/>
      <c r="G396" s="175"/>
      <c r="H396" s="175"/>
      <c r="I396" s="140"/>
      <c r="J396" s="175"/>
      <c r="K396" s="140"/>
      <c r="L396" s="175"/>
      <c r="M396" s="140"/>
      <c r="N396" s="175"/>
      <c r="O396" s="140"/>
      <c r="P396" s="128"/>
      <c r="Q396" s="130"/>
      <c r="R396" s="130"/>
      <c r="S396" s="173"/>
      <c r="T396" s="173"/>
      <c r="U396" s="184"/>
      <c r="AA396" s="49">
        <f t="shared" si="16"/>
        <v>0</v>
      </c>
      <c r="AB396" s="49">
        <f t="shared" si="17"/>
        <v>0</v>
      </c>
      <c r="AC396" s="131" t="e">
        <f t="shared" si="15"/>
        <v>#N/A</v>
      </c>
    </row>
    <row r="397" spans="2:29" x14ac:dyDescent="0.25">
      <c r="B397" s="127"/>
      <c r="C397" s="183"/>
      <c r="D397" s="128"/>
      <c r="E397" s="128"/>
      <c r="F397" s="128"/>
      <c r="G397" s="175"/>
      <c r="H397" s="175"/>
      <c r="I397" s="140"/>
      <c r="J397" s="175"/>
      <c r="K397" s="140"/>
      <c r="L397" s="175"/>
      <c r="M397" s="140"/>
      <c r="N397" s="175"/>
      <c r="O397" s="140"/>
      <c r="P397" s="128"/>
      <c r="Q397" s="130"/>
      <c r="R397" s="130"/>
      <c r="S397" s="173"/>
      <c r="T397" s="173"/>
      <c r="U397" s="184"/>
      <c r="AA397" s="49">
        <f t="shared" si="16"/>
        <v>0</v>
      </c>
      <c r="AB397" s="49">
        <f t="shared" si="17"/>
        <v>0</v>
      </c>
      <c r="AC397" s="131" t="e">
        <f t="shared" si="15"/>
        <v>#N/A</v>
      </c>
    </row>
    <row r="398" spans="2:29" x14ac:dyDescent="0.25">
      <c r="B398" s="127"/>
      <c r="C398" s="183"/>
      <c r="D398" s="128"/>
      <c r="E398" s="128"/>
      <c r="F398" s="128"/>
      <c r="G398" s="175"/>
      <c r="H398" s="175"/>
      <c r="I398" s="140"/>
      <c r="J398" s="175"/>
      <c r="K398" s="140"/>
      <c r="L398" s="175"/>
      <c r="M398" s="140"/>
      <c r="N398" s="175"/>
      <c r="O398" s="140"/>
      <c r="P398" s="128"/>
      <c r="Q398" s="130"/>
      <c r="R398" s="130"/>
      <c r="S398" s="173"/>
      <c r="T398" s="173"/>
      <c r="U398" s="184"/>
      <c r="AA398" s="49">
        <f t="shared" si="16"/>
        <v>0</v>
      </c>
      <c r="AB398" s="49">
        <f t="shared" si="17"/>
        <v>0</v>
      </c>
      <c r="AC398" s="131" t="e">
        <f t="shared" si="15"/>
        <v>#N/A</v>
      </c>
    </row>
    <row r="399" spans="2:29" x14ac:dyDescent="0.25">
      <c r="B399" s="127"/>
      <c r="C399" s="183"/>
      <c r="D399" s="128"/>
      <c r="E399" s="128"/>
      <c r="F399" s="128"/>
      <c r="G399" s="175"/>
      <c r="H399" s="175"/>
      <c r="I399" s="140"/>
      <c r="J399" s="175"/>
      <c r="K399" s="140"/>
      <c r="L399" s="175"/>
      <c r="M399" s="140"/>
      <c r="N399" s="175"/>
      <c r="O399" s="140"/>
      <c r="P399" s="128"/>
      <c r="Q399" s="130"/>
      <c r="R399" s="130"/>
      <c r="S399" s="173"/>
      <c r="T399" s="173"/>
      <c r="U399" s="184"/>
      <c r="AA399" s="49">
        <f t="shared" si="16"/>
        <v>0</v>
      </c>
      <c r="AB399" s="49">
        <f t="shared" si="17"/>
        <v>0</v>
      </c>
      <c r="AC399" s="131" t="e">
        <f t="shared" si="15"/>
        <v>#N/A</v>
      </c>
    </row>
    <row r="400" spans="2:29" x14ac:dyDescent="0.25">
      <c r="B400" s="127"/>
      <c r="C400" s="183"/>
      <c r="D400" s="128"/>
      <c r="E400" s="128"/>
      <c r="F400" s="128"/>
      <c r="G400" s="175"/>
      <c r="H400" s="175"/>
      <c r="I400" s="140"/>
      <c r="J400" s="175"/>
      <c r="K400" s="140"/>
      <c r="L400" s="175"/>
      <c r="M400" s="140"/>
      <c r="N400" s="175"/>
      <c r="O400" s="140"/>
      <c r="P400" s="128"/>
      <c r="Q400" s="130"/>
      <c r="R400" s="130"/>
      <c r="S400" s="173"/>
      <c r="T400" s="173"/>
      <c r="U400" s="184"/>
      <c r="AA400" s="49">
        <f t="shared" si="16"/>
        <v>0</v>
      </c>
      <c r="AB400" s="49">
        <f t="shared" si="17"/>
        <v>0</v>
      </c>
      <c r="AC400" s="131" t="e">
        <f t="shared" ref="AC400:AC448" si="18">VLOOKUP(C400,ChamberType,2,FALSE)</f>
        <v>#N/A</v>
      </c>
    </row>
    <row r="401" spans="2:29" x14ac:dyDescent="0.25">
      <c r="B401" s="127"/>
      <c r="C401" s="183"/>
      <c r="D401" s="128"/>
      <c r="E401" s="128"/>
      <c r="F401" s="128"/>
      <c r="G401" s="175"/>
      <c r="H401" s="175"/>
      <c r="I401" s="140"/>
      <c r="J401" s="175"/>
      <c r="K401" s="140"/>
      <c r="L401" s="175"/>
      <c r="M401" s="140"/>
      <c r="N401" s="175"/>
      <c r="O401" s="140"/>
      <c r="P401" s="128"/>
      <c r="Q401" s="130"/>
      <c r="R401" s="130"/>
      <c r="S401" s="173"/>
      <c r="T401" s="173"/>
      <c r="U401" s="184"/>
      <c r="AA401" s="49">
        <f t="shared" ref="AA401:AA448" si="19">D401+J401/6</f>
        <v>0</v>
      </c>
      <c r="AB401" s="49">
        <f t="shared" ref="AB401:AB448" si="20">D401+(J401+N401)/12</f>
        <v>0</v>
      </c>
      <c r="AC401" s="131" t="e">
        <f t="shared" si="18"/>
        <v>#N/A</v>
      </c>
    </row>
    <row r="402" spans="2:29" x14ac:dyDescent="0.25">
      <c r="B402" s="127"/>
      <c r="C402" s="183"/>
      <c r="D402" s="128"/>
      <c r="E402" s="128"/>
      <c r="F402" s="128"/>
      <c r="G402" s="175"/>
      <c r="H402" s="175"/>
      <c r="I402" s="140"/>
      <c r="J402" s="175"/>
      <c r="K402" s="140"/>
      <c r="L402" s="175"/>
      <c r="M402" s="140"/>
      <c r="N402" s="175"/>
      <c r="O402" s="140"/>
      <c r="P402" s="128"/>
      <c r="Q402" s="130"/>
      <c r="R402" s="130"/>
      <c r="S402" s="173"/>
      <c r="T402" s="173"/>
      <c r="U402" s="184"/>
      <c r="AA402" s="49">
        <f t="shared" si="19"/>
        <v>0</v>
      </c>
      <c r="AB402" s="49">
        <f t="shared" si="20"/>
        <v>0</v>
      </c>
      <c r="AC402" s="131" t="e">
        <f t="shared" si="18"/>
        <v>#N/A</v>
      </c>
    </row>
    <row r="403" spans="2:29" x14ac:dyDescent="0.25">
      <c r="B403" s="127"/>
      <c r="C403" s="183"/>
      <c r="D403" s="128"/>
      <c r="E403" s="128"/>
      <c r="F403" s="128"/>
      <c r="G403" s="175"/>
      <c r="H403" s="175"/>
      <c r="I403" s="140"/>
      <c r="J403" s="175"/>
      <c r="K403" s="140"/>
      <c r="L403" s="175"/>
      <c r="M403" s="140"/>
      <c r="N403" s="175"/>
      <c r="O403" s="140"/>
      <c r="P403" s="128"/>
      <c r="Q403" s="130"/>
      <c r="R403" s="130"/>
      <c r="S403" s="173"/>
      <c r="T403" s="173"/>
      <c r="U403" s="184"/>
      <c r="AA403" s="49">
        <f t="shared" si="19"/>
        <v>0</v>
      </c>
      <c r="AB403" s="49">
        <f t="shared" si="20"/>
        <v>0</v>
      </c>
      <c r="AC403" s="131" t="e">
        <f t="shared" si="18"/>
        <v>#N/A</v>
      </c>
    </row>
    <row r="404" spans="2:29" x14ac:dyDescent="0.25">
      <c r="B404" s="127"/>
      <c r="C404" s="183"/>
      <c r="D404" s="128"/>
      <c r="E404" s="128"/>
      <c r="F404" s="128"/>
      <c r="G404" s="175"/>
      <c r="H404" s="175"/>
      <c r="I404" s="140"/>
      <c r="J404" s="175"/>
      <c r="K404" s="140"/>
      <c r="L404" s="175"/>
      <c r="M404" s="140"/>
      <c r="N404" s="175"/>
      <c r="O404" s="140"/>
      <c r="P404" s="128"/>
      <c r="Q404" s="130"/>
      <c r="R404" s="130"/>
      <c r="S404" s="173"/>
      <c r="T404" s="173"/>
      <c r="U404" s="184"/>
      <c r="AA404" s="49">
        <f t="shared" si="19"/>
        <v>0</v>
      </c>
      <c r="AB404" s="49">
        <f t="shared" si="20"/>
        <v>0</v>
      </c>
      <c r="AC404" s="131" t="e">
        <f t="shared" si="18"/>
        <v>#N/A</v>
      </c>
    </row>
    <row r="405" spans="2:29" x14ac:dyDescent="0.25">
      <c r="B405" s="127"/>
      <c r="C405" s="183"/>
      <c r="D405" s="128"/>
      <c r="E405" s="128"/>
      <c r="F405" s="128"/>
      <c r="G405" s="175"/>
      <c r="H405" s="175"/>
      <c r="I405" s="140"/>
      <c r="J405" s="175"/>
      <c r="K405" s="140"/>
      <c r="L405" s="175"/>
      <c r="M405" s="140"/>
      <c r="N405" s="175"/>
      <c r="O405" s="140"/>
      <c r="P405" s="128"/>
      <c r="Q405" s="130"/>
      <c r="R405" s="130"/>
      <c r="S405" s="173"/>
      <c r="T405" s="173"/>
      <c r="U405" s="184"/>
      <c r="AA405" s="49">
        <f t="shared" si="19"/>
        <v>0</v>
      </c>
      <c r="AB405" s="49">
        <f t="shared" si="20"/>
        <v>0</v>
      </c>
      <c r="AC405" s="131" t="e">
        <f t="shared" si="18"/>
        <v>#N/A</v>
      </c>
    </row>
    <row r="406" spans="2:29" x14ac:dyDescent="0.25">
      <c r="B406" s="127"/>
      <c r="C406" s="183"/>
      <c r="D406" s="128"/>
      <c r="E406" s="128"/>
      <c r="F406" s="128"/>
      <c r="G406" s="175"/>
      <c r="H406" s="175"/>
      <c r="I406" s="140"/>
      <c r="J406" s="175"/>
      <c r="K406" s="140"/>
      <c r="L406" s="175"/>
      <c r="M406" s="140"/>
      <c r="N406" s="175"/>
      <c r="O406" s="140"/>
      <c r="P406" s="128"/>
      <c r="Q406" s="130"/>
      <c r="R406" s="130"/>
      <c r="S406" s="173"/>
      <c r="T406" s="173"/>
      <c r="U406" s="184"/>
      <c r="AA406" s="49">
        <f t="shared" si="19"/>
        <v>0</v>
      </c>
      <c r="AB406" s="49">
        <f t="shared" si="20"/>
        <v>0</v>
      </c>
      <c r="AC406" s="131" t="e">
        <f t="shared" si="18"/>
        <v>#N/A</v>
      </c>
    </row>
    <row r="407" spans="2:29" x14ac:dyDescent="0.25">
      <c r="B407" s="127"/>
      <c r="C407" s="183"/>
      <c r="D407" s="128"/>
      <c r="E407" s="128"/>
      <c r="F407" s="128"/>
      <c r="G407" s="175"/>
      <c r="H407" s="175"/>
      <c r="I407" s="140"/>
      <c r="J407" s="175"/>
      <c r="K407" s="140"/>
      <c r="L407" s="175"/>
      <c r="M407" s="140"/>
      <c r="N407" s="175"/>
      <c r="O407" s="140"/>
      <c r="P407" s="128"/>
      <c r="Q407" s="130"/>
      <c r="R407" s="130"/>
      <c r="S407" s="173"/>
      <c r="T407" s="173"/>
      <c r="U407" s="184"/>
      <c r="AA407" s="49">
        <f t="shared" si="19"/>
        <v>0</v>
      </c>
      <c r="AB407" s="49">
        <f t="shared" si="20"/>
        <v>0</v>
      </c>
      <c r="AC407" s="131" t="e">
        <f t="shared" si="18"/>
        <v>#N/A</v>
      </c>
    </row>
    <row r="408" spans="2:29" x14ac:dyDescent="0.25">
      <c r="B408" s="127"/>
      <c r="C408" s="183"/>
      <c r="D408" s="128"/>
      <c r="E408" s="128"/>
      <c r="F408" s="128"/>
      <c r="G408" s="175"/>
      <c r="H408" s="175"/>
      <c r="I408" s="140"/>
      <c r="J408" s="175"/>
      <c r="K408" s="140"/>
      <c r="L408" s="175"/>
      <c r="M408" s="140"/>
      <c r="N408" s="175"/>
      <c r="O408" s="140"/>
      <c r="P408" s="128"/>
      <c r="Q408" s="130"/>
      <c r="R408" s="130"/>
      <c r="S408" s="173"/>
      <c r="T408" s="173"/>
      <c r="U408" s="184"/>
      <c r="AA408" s="49">
        <f t="shared" si="19"/>
        <v>0</v>
      </c>
      <c r="AB408" s="49">
        <f t="shared" si="20"/>
        <v>0</v>
      </c>
      <c r="AC408" s="131" t="e">
        <f t="shared" si="18"/>
        <v>#N/A</v>
      </c>
    </row>
    <row r="409" spans="2:29" x14ac:dyDescent="0.25">
      <c r="B409" s="127"/>
      <c r="C409" s="183"/>
      <c r="D409" s="128"/>
      <c r="E409" s="128"/>
      <c r="F409" s="128"/>
      <c r="G409" s="175"/>
      <c r="H409" s="175"/>
      <c r="I409" s="140"/>
      <c r="J409" s="175"/>
      <c r="K409" s="140"/>
      <c r="L409" s="175"/>
      <c r="M409" s="140"/>
      <c r="N409" s="175"/>
      <c r="O409" s="140"/>
      <c r="P409" s="128"/>
      <c r="Q409" s="130"/>
      <c r="R409" s="130"/>
      <c r="S409" s="173"/>
      <c r="T409" s="173"/>
      <c r="U409" s="184"/>
      <c r="AA409" s="49">
        <f t="shared" si="19"/>
        <v>0</v>
      </c>
      <c r="AB409" s="49">
        <f t="shared" si="20"/>
        <v>0</v>
      </c>
      <c r="AC409" s="131" t="e">
        <f t="shared" si="18"/>
        <v>#N/A</v>
      </c>
    </row>
    <row r="410" spans="2:29" x14ac:dyDescent="0.25">
      <c r="B410" s="127"/>
      <c r="C410" s="183"/>
      <c r="D410" s="128"/>
      <c r="E410" s="128"/>
      <c r="F410" s="128"/>
      <c r="G410" s="175"/>
      <c r="H410" s="175"/>
      <c r="I410" s="140"/>
      <c r="J410" s="175"/>
      <c r="K410" s="140"/>
      <c r="L410" s="175"/>
      <c r="M410" s="140"/>
      <c r="N410" s="175"/>
      <c r="O410" s="140"/>
      <c r="P410" s="128"/>
      <c r="Q410" s="130"/>
      <c r="R410" s="130"/>
      <c r="S410" s="173"/>
      <c r="T410" s="173"/>
      <c r="U410" s="184"/>
      <c r="AA410" s="49">
        <f t="shared" si="19"/>
        <v>0</v>
      </c>
      <c r="AB410" s="49">
        <f t="shared" si="20"/>
        <v>0</v>
      </c>
      <c r="AC410" s="131" t="e">
        <f t="shared" si="18"/>
        <v>#N/A</v>
      </c>
    </row>
    <row r="411" spans="2:29" x14ac:dyDescent="0.25">
      <c r="B411" s="127"/>
      <c r="C411" s="183"/>
      <c r="D411" s="128"/>
      <c r="E411" s="128"/>
      <c r="F411" s="128"/>
      <c r="G411" s="175"/>
      <c r="H411" s="175"/>
      <c r="I411" s="140"/>
      <c r="J411" s="175"/>
      <c r="K411" s="140"/>
      <c r="L411" s="175"/>
      <c r="M411" s="140"/>
      <c r="N411" s="175"/>
      <c r="O411" s="140"/>
      <c r="P411" s="128"/>
      <c r="Q411" s="130"/>
      <c r="R411" s="130"/>
      <c r="S411" s="173"/>
      <c r="T411" s="173"/>
      <c r="U411" s="184"/>
      <c r="AA411" s="49">
        <f t="shared" si="19"/>
        <v>0</v>
      </c>
      <c r="AB411" s="49">
        <f t="shared" si="20"/>
        <v>0</v>
      </c>
      <c r="AC411" s="131" t="e">
        <f t="shared" si="18"/>
        <v>#N/A</v>
      </c>
    </row>
    <row r="412" spans="2:29" x14ac:dyDescent="0.25">
      <c r="B412" s="127"/>
      <c r="C412" s="183"/>
      <c r="D412" s="128"/>
      <c r="E412" s="128"/>
      <c r="F412" s="128"/>
      <c r="G412" s="175"/>
      <c r="H412" s="175"/>
      <c r="I412" s="140"/>
      <c r="J412" s="175"/>
      <c r="K412" s="140"/>
      <c r="L412" s="175"/>
      <c r="M412" s="140"/>
      <c r="N412" s="175"/>
      <c r="O412" s="140"/>
      <c r="P412" s="128"/>
      <c r="Q412" s="130"/>
      <c r="R412" s="130"/>
      <c r="S412" s="173"/>
      <c r="T412" s="173"/>
      <c r="U412" s="184"/>
      <c r="AA412" s="49">
        <f t="shared" si="19"/>
        <v>0</v>
      </c>
      <c r="AB412" s="49">
        <f t="shared" si="20"/>
        <v>0</v>
      </c>
      <c r="AC412" s="131" t="e">
        <f t="shared" si="18"/>
        <v>#N/A</v>
      </c>
    </row>
    <row r="413" spans="2:29" x14ac:dyDescent="0.25">
      <c r="B413" s="127"/>
      <c r="C413" s="183"/>
      <c r="D413" s="128"/>
      <c r="E413" s="128"/>
      <c r="F413" s="128"/>
      <c r="G413" s="175"/>
      <c r="H413" s="175"/>
      <c r="I413" s="140"/>
      <c r="J413" s="175"/>
      <c r="K413" s="140"/>
      <c r="L413" s="175"/>
      <c r="M413" s="140"/>
      <c r="N413" s="175"/>
      <c r="O413" s="140"/>
      <c r="P413" s="128"/>
      <c r="Q413" s="130"/>
      <c r="R413" s="130"/>
      <c r="S413" s="173"/>
      <c r="T413" s="173"/>
      <c r="U413" s="184"/>
      <c r="AA413" s="49">
        <f t="shared" si="19"/>
        <v>0</v>
      </c>
      <c r="AB413" s="49">
        <f t="shared" si="20"/>
        <v>0</v>
      </c>
      <c r="AC413" s="131" t="e">
        <f t="shared" si="18"/>
        <v>#N/A</v>
      </c>
    </row>
    <row r="414" spans="2:29" x14ac:dyDescent="0.25">
      <c r="B414" s="127"/>
      <c r="C414" s="183"/>
      <c r="D414" s="128"/>
      <c r="E414" s="128"/>
      <c r="F414" s="128"/>
      <c r="G414" s="175"/>
      <c r="H414" s="175"/>
      <c r="I414" s="140"/>
      <c r="J414" s="175"/>
      <c r="K414" s="140"/>
      <c r="L414" s="175"/>
      <c r="M414" s="140"/>
      <c r="N414" s="175"/>
      <c r="O414" s="140"/>
      <c r="P414" s="128"/>
      <c r="Q414" s="130"/>
      <c r="R414" s="130"/>
      <c r="S414" s="173"/>
      <c r="T414" s="173"/>
      <c r="U414" s="184"/>
      <c r="AA414" s="49">
        <f t="shared" si="19"/>
        <v>0</v>
      </c>
      <c r="AB414" s="49">
        <f t="shared" si="20"/>
        <v>0</v>
      </c>
      <c r="AC414" s="131" t="e">
        <f t="shared" si="18"/>
        <v>#N/A</v>
      </c>
    </row>
    <row r="415" spans="2:29" x14ac:dyDescent="0.25">
      <c r="B415" s="127"/>
      <c r="C415" s="183"/>
      <c r="D415" s="128"/>
      <c r="E415" s="128"/>
      <c r="F415" s="128"/>
      <c r="G415" s="175"/>
      <c r="H415" s="175"/>
      <c r="I415" s="140"/>
      <c r="J415" s="175"/>
      <c r="K415" s="140"/>
      <c r="L415" s="175"/>
      <c r="M415" s="140"/>
      <c r="N415" s="175"/>
      <c r="O415" s="140"/>
      <c r="P415" s="128"/>
      <c r="Q415" s="130"/>
      <c r="R415" s="130"/>
      <c r="S415" s="173"/>
      <c r="T415" s="173"/>
      <c r="U415" s="184"/>
      <c r="AA415" s="49">
        <f t="shared" si="19"/>
        <v>0</v>
      </c>
      <c r="AB415" s="49">
        <f t="shared" si="20"/>
        <v>0</v>
      </c>
      <c r="AC415" s="131" t="e">
        <f t="shared" si="18"/>
        <v>#N/A</v>
      </c>
    </row>
    <row r="416" spans="2:29" x14ac:dyDescent="0.25">
      <c r="B416" s="127"/>
      <c r="C416" s="183"/>
      <c r="D416" s="128"/>
      <c r="E416" s="128"/>
      <c r="F416" s="128"/>
      <c r="G416" s="175"/>
      <c r="H416" s="175"/>
      <c r="I416" s="140"/>
      <c r="J416" s="175"/>
      <c r="K416" s="140"/>
      <c r="L416" s="175"/>
      <c r="M416" s="140"/>
      <c r="N416" s="175"/>
      <c r="O416" s="140"/>
      <c r="P416" s="128"/>
      <c r="Q416" s="130"/>
      <c r="R416" s="130"/>
      <c r="S416" s="173"/>
      <c r="T416" s="173"/>
      <c r="U416" s="184"/>
      <c r="AA416" s="49">
        <f t="shared" si="19"/>
        <v>0</v>
      </c>
      <c r="AB416" s="49">
        <f t="shared" si="20"/>
        <v>0</v>
      </c>
      <c r="AC416" s="131" t="e">
        <f t="shared" si="18"/>
        <v>#N/A</v>
      </c>
    </row>
    <row r="417" spans="2:29" x14ac:dyDescent="0.25">
      <c r="B417" s="127"/>
      <c r="C417" s="183"/>
      <c r="D417" s="128"/>
      <c r="E417" s="128"/>
      <c r="F417" s="128"/>
      <c r="G417" s="175"/>
      <c r="H417" s="175"/>
      <c r="I417" s="140"/>
      <c r="J417" s="175"/>
      <c r="K417" s="140"/>
      <c r="L417" s="175"/>
      <c r="M417" s="140"/>
      <c r="N417" s="175"/>
      <c r="O417" s="140"/>
      <c r="P417" s="128"/>
      <c r="Q417" s="130"/>
      <c r="R417" s="130"/>
      <c r="S417" s="173"/>
      <c r="T417" s="173"/>
      <c r="U417" s="184"/>
      <c r="AA417" s="49">
        <f t="shared" si="19"/>
        <v>0</v>
      </c>
      <c r="AB417" s="49">
        <f t="shared" si="20"/>
        <v>0</v>
      </c>
      <c r="AC417" s="131" t="e">
        <f t="shared" si="18"/>
        <v>#N/A</v>
      </c>
    </row>
    <row r="418" spans="2:29" x14ac:dyDescent="0.25">
      <c r="B418" s="127"/>
      <c r="C418" s="183"/>
      <c r="D418" s="128"/>
      <c r="E418" s="128"/>
      <c r="F418" s="128"/>
      <c r="G418" s="175"/>
      <c r="H418" s="175"/>
      <c r="I418" s="140"/>
      <c r="J418" s="175"/>
      <c r="K418" s="140"/>
      <c r="L418" s="175"/>
      <c r="M418" s="140"/>
      <c r="N418" s="175"/>
      <c r="O418" s="140"/>
      <c r="P418" s="128"/>
      <c r="Q418" s="130"/>
      <c r="R418" s="130"/>
      <c r="S418" s="173"/>
      <c r="T418" s="173"/>
      <c r="U418" s="184"/>
      <c r="AA418" s="49">
        <f t="shared" si="19"/>
        <v>0</v>
      </c>
      <c r="AB418" s="49">
        <f t="shared" si="20"/>
        <v>0</v>
      </c>
      <c r="AC418" s="131" t="e">
        <f t="shared" si="18"/>
        <v>#N/A</v>
      </c>
    </row>
    <row r="419" spans="2:29" x14ac:dyDescent="0.25">
      <c r="B419" s="127"/>
      <c r="C419" s="183"/>
      <c r="D419" s="128"/>
      <c r="E419" s="128"/>
      <c r="F419" s="128"/>
      <c r="G419" s="175"/>
      <c r="H419" s="175"/>
      <c r="I419" s="140"/>
      <c r="J419" s="175"/>
      <c r="K419" s="140"/>
      <c r="L419" s="175"/>
      <c r="M419" s="140"/>
      <c r="N419" s="175"/>
      <c r="O419" s="140"/>
      <c r="P419" s="128"/>
      <c r="Q419" s="130"/>
      <c r="R419" s="130"/>
      <c r="S419" s="173"/>
      <c r="T419" s="173"/>
      <c r="U419" s="184"/>
      <c r="AA419" s="49">
        <f t="shared" si="19"/>
        <v>0</v>
      </c>
      <c r="AB419" s="49">
        <f t="shared" si="20"/>
        <v>0</v>
      </c>
      <c r="AC419" s="131" t="e">
        <f t="shared" si="18"/>
        <v>#N/A</v>
      </c>
    </row>
    <row r="420" spans="2:29" x14ac:dyDescent="0.25">
      <c r="B420" s="127"/>
      <c r="C420" s="183"/>
      <c r="D420" s="128"/>
      <c r="E420" s="128"/>
      <c r="F420" s="128"/>
      <c r="G420" s="175"/>
      <c r="H420" s="175"/>
      <c r="I420" s="140"/>
      <c r="J420" s="175"/>
      <c r="K420" s="140"/>
      <c r="L420" s="175"/>
      <c r="M420" s="140"/>
      <c r="N420" s="175"/>
      <c r="O420" s="140"/>
      <c r="P420" s="128"/>
      <c r="Q420" s="130"/>
      <c r="R420" s="130"/>
      <c r="S420" s="173"/>
      <c r="T420" s="173"/>
      <c r="U420" s="184"/>
      <c r="AA420" s="49">
        <f t="shared" si="19"/>
        <v>0</v>
      </c>
      <c r="AB420" s="49">
        <f t="shared" si="20"/>
        <v>0</v>
      </c>
      <c r="AC420" s="131" t="e">
        <f t="shared" si="18"/>
        <v>#N/A</v>
      </c>
    </row>
    <row r="421" spans="2:29" x14ac:dyDescent="0.25">
      <c r="B421" s="127"/>
      <c r="C421" s="183"/>
      <c r="D421" s="128"/>
      <c r="E421" s="128"/>
      <c r="F421" s="128"/>
      <c r="G421" s="175"/>
      <c r="H421" s="175"/>
      <c r="I421" s="140"/>
      <c r="J421" s="175"/>
      <c r="K421" s="140"/>
      <c r="L421" s="175"/>
      <c r="M421" s="140"/>
      <c r="N421" s="175"/>
      <c r="O421" s="140"/>
      <c r="P421" s="128"/>
      <c r="Q421" s="130"/>
      <c r="R421" s="130"/>
      <c r="S421" s="173"/>
      <c r="T421" s="173"/>
      <c r="U421" s="184"/>
      <c r="AA421" s="49">
        <f t="shared" si="19"/>
        <v>0</v>
      </c>
      <c r="AB421" s="49">
        <f t="shared" si="20"/>
        <v>0</v>
      </c>
      <c r="AC421" s="131" t="e">
        <f t="shared" si="18"/>
        <v>#N/A</v>
      </c>
    </row>
    <row r="422" spans="2:29" x14ac:dyDescent="0.25">
      <c r="B422" s="127"/>
      <c r="C422" s="183"/>
      <c r="D422" s="128"/>
      <c r="E422" s="128"/>
      <c r="F422" s="128"/>
      <c r="G422" s="175"/>
      <c r="H422" s="175"/>
      <c r="I422" s="140"/>
      <c r="J422" s="175"/>
      <c r="K422" s="140"/>
      <c r="L422" s="175"/>
      <c r="M422" s="140"/>
      <c r="N422" s="175"/>
      <c r="O422" s="140"/>
      <c r="P422" s="128"/>
      <c r="Q422" s="130"/>
      <c r="R422" s="130"/>
      <c r="S422" s="173"/>
      <c r="T422" s="173"/>
      <c r="U422" s="184"/>
      <c r="AA422" s="49">
        <f t="shared" si="19"/>
        <v>0</v>
      </c>
      <c r="AB422" s="49">
        <f t="shared" si="20"/>
        <v>0</v>
      </c>
      <c r="AC422" s="131" t="e">
        <f t="shared" si="18"/>
        <v>#N/A</v>
      </c>
    </row>
    <row r="423" spans="2:29" x14ac:dyDescent="0.25">
      <c r="B423" s="127"/>
      <c r="C423" s="183"/>
      <c r="D423" s="128"/>
      <c r="E423" s="128"/>
      <c r="F423" s="128"/>
      <c r="G423" s="175"/>
      <c r="H423" s="175"/>
      <c r="I423" s="140"/>
      <c r="J423" s="175"/>
      <c r="K423" s="140"/>
      <c r="L423" s="175"/>
      <c r="M423" s="140"/>
      <c r="N423" s="175"/>
      <c r="O423" s="140"/>
      <c r="P423" s="128"/>
      <c r="Q423" s="130"/>
      <c r="R423" s="130"/>
      <c r="S423" s="173"/>
      <c r="T423" s="173"/>
      <c r="U423" s="184"/>
      <c r="AA423" s="49">
        <f t="shared" si="19"/>
        <v>0</v>
      </c>
      <c r="AB423" s="49">
        <f t="shared" si="20"/>
        <v>0</v>
      </c>
      <c r="AC423" s="131" t="e">
        <f t="shared" si="18"/>
        <v>#N/A</v>
      </c>
    </row>
    <row r="424" spans="2:29" x14ac:dyDescent="0.25">
      <c r="B424" s="127"/>
      <c r="C424" s="183"/>
      <c r="D424" s="128"/>
      <c r="E424" s="128"/>
      <c r="F424" s="128"/>
      <c r="G424" s="175"/>
      <c r="H424" s="175"/>
      <c r="I424" s="140"/>
      <c r="J424" s="175"/>
      <c r="K424" s="140"/>
      <c r="L424" s="175"/>
      <c r="M424" s="140"/>
      <c r="N424" s="175"/>
      <c r="O424" s="140"/>
      <c r="P424" s="128"/>
      <c r="Q424" s="130"/>
      <c r="R424" s="130"/>
      <c r="S424" s="173"/>
      <c r="T424" s="173"/>
      <c r="U424" s="184"/>
      <c r="AA424" s="49">
        <f t="shared" si="19"/>
        <v>0</v>
      </c>
      <c r="AB424" s="49">
        <f t="shared" si="20"/>
        <v>0</v>
      </c>
      <c r="AC424" s="131" t="e">
        <f t="shared" si="18"/>
        <v>#N/A</v>
      </c>
    </row>
    <row r="425" spans="2:29" x14ac:dyDescent="0.25">
      <c r="B425" s="127"/>
      <c r="C425" s="183"/>
      <c r="D425" s="128"/>
      <c r="E425" s="128"/>
      <c r="F425" s="128"/>
      <c r="G425" s="175"/>
      <c r="H425" s="175"/>
      <c r="I425" s="140"/>
      <c r="J425" s="175"/>
      <c r="K425" s="140"/>
      <c r="L425" s="175"/>
      <c r="M425" s="140"/>
      <c r="N425" s="175"/>
      <c r="O425" s="140"/>
      <c r="P425" s="128"/>
      <c r="Q425" s="130"/>
      <c r="R425" s="130"/>
      <c r="S425" s="173"/>
      <c r="T425" s="173"/>
      <c r="U425" s="184"/>
      <c r="AA425" s="49">
        <f t="shared" si="19"/>
        <v>0</v>
      </c>
      <c r="AB425" s="49">
        <f t="shared" si="20"/>
        <v>0</v>
      </c>
      <c r="AC425" s="131" t="e">
        <f t="shared" si="18"/>
        <v>#N/A</v>
      </c>
    </row>
    <row r="426" spans="2:29" x14ac:dyDescent="0.25">
      <c r="B426" s="127"/>
      <c r="C426" s="183"/>
      <c r="D426" s="128"/>
      <c r="E426" s="128"/>
      <c r="F426" s="128"/>
      <c r="G426" s="175"/>
      <c r="H426" s="175"/>
      <c r="I426" s="140"/>
      <c r="J426" s="175"/>
      <c r="K426" s="140"/>
      <c r="L426" s="175"/>
      <c r="M426" s="140"/>
      <c r="N426" s="175"/>
      <c r="O426" s="140"/>
      <c r="P426" s="128"/>
      <c r="Q426" s="130"/>
      <c r="R426" s="130"/>
      <c r="S426" s="173"/>
      <c r="T426" s="173"/>
      <c r="U426" s="184"/>
      <c r="AA426" s="49">
        <f t="shared" si="19"/>
        <v>0</v>
      </c>
      <c r="AB426" s="49">
        <f t="shared" si="20"/>
        <v>0</v>
      </c>
      <c r="AC426" s="131" t="e">
        <f t="shared" si="18"/>
        <v>#N/A</v>
      </c>
    </row>
    <row r="427" spans="2:29" x14ac:dyDescent="0.25">
      <c r="B427" s="127"/>
      <c r="C427" s="183"/>
      <c r="D427" s="128"/>
      <c r="E427" s="128"/>
      <c r="F427" s="128"/>
      <c r="G427" s="175"/>
      <c r="H427" s="175"/>
      <c r="I427" s="140"/>
      <c r="J427" s="175"/>
      <c r="K427" s="140"/>
      <c r="L427" s="175"/>
      <c r="M427" s="140"/>
      <c r="N427" s="175"/>
      <c r="O427" s="140"/>
      <c r="P427" s="128"/>
      <c r="Q427" s="130"/>
      <c r="R427" s="130"/>
      <c r="S427" s="173"/>
      <c r="T427" s="173"/>
      <c r="U427" s="184"/>
      <c r="AA427" s="49">
        <f t="shared" si="19"/>
        <v>0</v>
      </c>
      <c r="AB427" s="49">
        <f t="shared" si="20"/>
        <v>0</v>
      </c>
      <c r="AC427" s="131" t="e">
        <f t="shared" si="18"/>
        <v>#N/A</v>
      </c>
    </row>
    <row r="428" spans="2:29" x14ac:dyDescent="0.25">
      <c r="B428" s="127"/>
      <c r="C428" s="183"/>
      <c r="D428" s="128"/>
      <c r="E428" s="128"/>
      <c r="F428" s="128"/>
      <c r="G428" s="175"/>
      <c r="H428" s="175"/>
      <c r="I428" s="140"/>
      <c r="J428" s="175"/>
      <c r="K428" s="140"/>
      <c r="L428" s="175"/>
      <c r="M428" s="140"/>
      <c r="N428" s="175"/>
      <c r="O428" s="140"/>
      <c r="P428" s="128"/>
      <c r="Q428" s="130"/>
      <c r="R428" s="130"/>
      <c r="S428" s="173"/>
      <c r="T428" s="173"/>
      <c r="U428" s="184"/>
      <c r="AA428" s="49">
        <f t="shared" si="19"/>
        <v>0</v>
      </c>
      <c r="AB428" s="49">
        <f t="shared" si="20"/>
        <v>0</v>
      </c>
      <c r="AC428" s="131" t="e">
        <f t="shared" si="18"/>
        <v>#N/A</v>
      </c>
    </row>
    <row r="429" spans="2:29" x14ac:dyDescent="0.25">
      <c r="B429" s="127"/>
      <c r="C429" s="183"/>
      <c r="D429" s="128"/>
      <c r="E429" s="128"/>
      <c r="F429" s="128"/>
      <c r="G429" s="175"/>
      <c r="H429" s="175"/>
      <c r="I429" s="140"/>
      <c r="J429" s="175"/>
      <c r="K429" s="140"/>
      <c r="L429" s="175"/>
      <c r="M429" s="140"/>
      <c r="N429" s="175"/>
      <c r="O429" s="140"/>
      <c r="P429" s="128"/>
      <c r="Q429" s="130"/>
      <c r="R429" s="130"/>
      <c r="S429" s="173"/>
      <c r="T429" s="173"/>
      <c r="U429" s="184"/>
      <c r="AA429" s="49">
        <f t="shared" si="19"/>
        <v>0</v>
      </c>
      <c r="AB429" s="49">
        <f t="shared" si="20"/>
        <v>0</v>
      </c>
      <c r="AC429" s="131" t="e">
        <f t="shared" si="18"/>
        <v>#N/A</v>
      </c>
    </row>
    <row r="430" spans="2:29" x14ac:dyDescent="0.25">
      <c r="B430" s="127"/>
      <c r="C430" s="183"/>
      <c r="D430" s="128"/>
      <c r="E430" s="128"/>
      <c r="F430" s="128"/>
      <c r="G430" s="175"/>
      <c r="H430" s="175"/>
      <c r="I430" s="140"/>
      <c r="J430" s="175"/>
      <c r="K430" s="140"/>
      <c r="L430" s="175"/>
      <c r="M430" s="140"/>
      <c r="N430" s="175"/>
      <c r="O430" s="140"/>
      <c r="P430" s="128"/>
      <c r="Q430" s="130"/>
      <c r="R430" s="130"/>
      <c r="S430" s="173"/>
      <c r="T430" s="173"/>
      <c r="U430" s="184"/>
      <c r="AA430" s="49">
        <f t="shared" si="19"/>
        <v>0</v>
      </c>
      <c r="AB430" s="49">
        <f t="shared" si="20"/>
        <v>0</v>
      </c>
      <c r="AC430" s="131" t="e">
        <f t="shared" si="18"/>
        <v>#N/A</v>
      </c>
    </row>
    <row r="431" spans="2:29" x14ac:dyDescent="0.25">
      <c r="B431" s="127"/>
      <c r="C431" s="183"/>
      <c r="D431" s="128"/>
      <c r="E431" s="128"/>
      <c r="F431" s="128"/>
      <c r="G431" s="175"/>
      <c r="H431" s="175"/>
      <c r="I431" s="140"/>
      <c r="J431" s="175"/>
      <c r="K431" s="140"/>
      <c r="L431" s="175"/>
      <c r="M431" s="140"/>
      <c r="N431" s="175"/>
      <c r="O431" s="140"/>
      <c r="P431" s="128"/>
      <c r="Q431" s="130"/>
      <c r="R431" s="130"/>
      <c r="S431" s="173"/>
      <c r="T431" s="173"/>
      <c r="U431" s="184"/>
      <c r="AA431" s="49">
        <f t="shared" si="19"/>
        <v>0</v>
      </c>
      <c r="AB431" s="49">
        <f t="shared" si="20"/>
        <v>0</v>
      </c>
      <c r="AC431" s="131" t="e">
        <f t="shared" si="18"/>
        <v>#N/A</v>
      </c>
    </row>
    <row r="432" spans="2:29" x14ac:dyDescent="0.25">
      <c r="B432" s="127"/>
      <c r="C432" s="183"/>
      <c r="D432" s="128"/>
      <c r="E432" s="128"/>
      <c r="F432" s="128"/>
      <c r="G432" s="175"/>
      <c r="H432" s="175"/>
      <c r="I432" s="140"/>
      <c r="J432" s="175"/>
      <c r="K432" s="140"/>
      <c r="L432" s="175"/>
      <c r="M432" s="140"/>
      <c r="N432" s="175"/>
      <c r="O432" s="140"/>
      <c r="P432" s="128"/>
      <c r="Q432" s="130"/>
      <c r="R432" s="130"/>
      <c r="S432" s="173"/>
      <c r="T432" s="173"/>
      <c r="U432" s="184"/>
      <c r="AA432" s="49">
        <f t="shared" si="19"/>
        <v>0</v>
      </c>
      <c r="AB432" s="49">
        <f t="shared" si="20"/>
        <v>0</v>
      </c>
      <c r="AC432" s="131" t="e">
        <f t="shared" si="18"/>
        <v>#N/A</v>
      </c>
    </row>
    <row r="433" spans="2:29" x14ac:dyDescent="0.25">
      <c r="B433" s="127"/>
      <c r="C433" s="183"/>
      <c r="D433" s="128"/>
      <c r="E433" s="128"/>
      <c r="F433" s="128"/>
      <c r="G433" s="175"/>
      <c r="H433" s="175"/>
      <c r="I433" s="140"/>
      <c r="J433" s="175"/>
      <c r="K433" s="140"/>
      <c r="L433" s="175"/>
      <c r="M433" s="140"/>
      <c r="N433" s="175"/>
      <c r="O433" s="140"/>
      <c r="P433" s="128"/>
      <c r="Q433" s="130"/>
      <c r="R433" s="130"/>
      <c r="S433" s="173"/>
      <c r="T433" s="173"/>
      <c r="U433" s="184"/>
      <c r="AA433" s="49">
        <f t="shared" si="19"/>
        <v>0</v>
      </c>
      <c r="AB433" s="49">
        <f t="shared" si="20"/>
        <v>0</v>
      </c>
      <c r="AC433" s="131" t="e">
        <f t="shared" si="18"/>
        <v>#N/A</v>
      </c>
    </row>
    <row r="434" spans="2:29" x14ac:dyDescent="0.25">
      <c r="B434" s="127"/>
      <c r="C434" s="183"/>
      <c r="D434" s="128"/>
      <c r="E434" s="128"/>
      <c r="F434" s="128"/>
      <c r="G434" s="175"/>
      <c r="H434" s="175"/>
      <c r="I434" s="140"/>
      <c r="J434" s="175"/>
      <c r="K434" s="140"/>
      <c r="L434" s="175"/>
      <c r="M434" s="140"/>
      <c r="N434" s="175"/>
      <c r="O434" s="140"/>
      <c r="P434" s="128"/>
      <c r="Q434" s="130"/>
      <c r="R434" s="130"/>
      <c r="S434" s="173"/>
      <c r="T434" s="173"/>
      <c r="U434" s="184"/>
      <c r="AA434" s="49">
        <f t="shared" si="19"/>
        <v>0</v>
      </c>
      <c r="AB434" s="49">
        <f t="shared" si="20"/>
        <v>0</v>
      </c>
      <c r="AC434" s="131" t="e">
        <f t="shared" si="18"/>
        <v>#N/A</v>
      </c>
    </row>
    <row r="435" spans="2:29" x14ac:dyDescent="0.25">
      <c r="B435" s="127"/>
      <c r="C435" s="183"/>
      <c r="D435" s="128"/>
      <c r="E435" s="128"/>
      <c r="F435" s="128"/>
      <c r="G435" s="175"/>
      <c r="H435" s="175"/>
      <c r="I435" s="140"/>
      <c r="J435" s="175"/>
      <c r="K435" s="140"/>
      <c r="L435" s="175"/>
      <c r="M435" s="140"/>
      <c r="N435" s="175"/>
      <c r="O435" s="140"/>
      <c r="P435" s="128"/>
      <c r="Q435" s="130"/>
      <c r="R435" s="130"/>
      <c r="S435" s="173"/>
      <c r="T435" s="173"/>
      <c r="U435" s="184"/>
      <c r="AA435" s="49">
        <f t="shared" si="19"/>
        <v>0</v>
      </c>
      <c r="AB435" s="49">
        <f t="shared" si="20"/>
        <v>0</v>
      </c>
      <c r="AC435" s="131" t="e">
        <f t="shared" si="18"/>
        <v>#N/A</v>
      </c>
    </row>
    <row r="436" spans="2:29" x14ac:dyDescent="0.25">
      <c r="B436" s="127"/>
      <c r="C436" s="183"/>
      <c r="D436" s="128"/>
      <c r="E436" s="128"/>
      <c r="F436" s="128"/>
      <c r="G436" s="175"/>
      <c r="H436" s="175"/>
      <c r="I436" s="140"/>
      <c r="J436" s="175"/>
      <c r="K436" s="140"/>
      <c r="L436" s="175"/>
      <c r="M436" s="140"/>
      <c r="N436" s="175"/>
      <c r="O436" s="140"/>
      <c r="P436" s="128"/>
      <c r="Q436" s="130"/>
      <c r="R436" s="130"/>
      <c r="S436" s="173"/>
      <c r="T436" s="173"/>
      <c r="U436" s="184"/>
      <c r="AA436" s="49">
        <f t="shared" si="19"/>
        <v>0</v>
      </c>
      <c r="AB436" s="49">
        <f t="shared" si="20"/>
        <v>0</v>
      </c>
      <c r="AC436" s="131" t="e">
        <f t="shared" si="18"/>
        <v>#N/A</v>
      </c>
    </row>
    <row r="437" spans="2:29" x14ac:dyDescent="0.25">
      <c r="B437" s="127"/>
      <c r="C437" s="183"/>
      <c r="D437" s="128"/>
      <c r="E437" s="128"/>
      <c r="F437" s="128"/>
      <c r="G437" s="175"/>
      <c r="H437" s="175"/>
      <c r="I437" s="140"/>
      <c r="J437" s="175"/>
      <c r="K437" s="140"/>
      <c r="L437" s="175"/>
      <c r="M437" s="140"/>
      <c r="N437" s="175"/>
      <c r="O437" s="140"/>
      <c r="P437" s="128"/>
      <c r="Q437" s="130"/>
      <c r="R437" s="130"/>
      <c r="S437" s="173"/>
      <c r="T437" s="173"/>
      <c r="U437" s="184"/>
      <c r="AA437" s="49">
        <f t="shared" si="19"/>
        <v>0</v>
      </c>
      <c r="AB437" s="49">
        <f t="shared" si="20"/>
        <v>0</v>
      </c>
      <c r="AC437" s="131" t="e">
        <f t="shared" si="18"/>
        <v>#N/A</v>
      </c>
    </row>
    <row r="438" spans="2:29" x14ac:dyDescent="0.25">
      <c r="B438" s="127"/>
      <c r="C438" s="183"/>
      <c r="D438" s="128"/>
      <c r="E438" s="128"/>
      <c r="F438" s="128"/>
      <c r="G438" s="175"/>
      <c r="H438" s="175"/>
      <c r="I438" s="140"/>
      <c r="J438" s="175"/>
      <c r="K438" s="140"/>
      <c r="L438" s="175"/>
      <c r="M438" s="140"/>
      <c r="N438" s="175"/>
      <c r="O438" s="140"/>
      <c r="P438" s="128"/>
      <c r="Q438" s="130"/>
      <c r="R438" s="130"/>
      <c r="S438" s="173"/>
      <c r="T438" s="173"/>
      <c r="U438" s="184"/>
      <c r="AA438" s="49">
        <f t="shared" si="19"/>
        <v>0</v>
      </c>
      <c r="AB438" s="49">
        <f t="shared" si="20"/>
        <v>0</v>
      </c>
      <c r="AC438" s="131" t="e">
        <f t="shared" si="18"/>
        <v>#N/A</v>
      </c>
    </row>
    <row r="439" spans="2:29" x14ac:dyDescent="0.25">
      <c r="B439" s="127"/>
      <c r="C439" s="183"/>
      <c r="D439" s="128"/>
      <c r="E439" s="128"/>
      <c r="F439" s="128"/>
      <c r="G439" s="175"/>
      <c r="H439" s="175"/>
      <c r="I439" s="140"/>
      <c r="J439" s="175"/>
      <c r="K439" s="140"/>
      <c r="L439" s="175"/>
      <c r="M439" s="140"/>
      <c r="N439" s="175"/>
      <c r="O439" s="140"/>
      <c r="P439" s="128"/>
      <c r="Q439" s="130"/>
      <c r="R439" s="130"/>
      <c r="S439" s="173"/>
      <c r="T439" s="173"/>
      <c r="U439" s="184"/>
      <c r="AA439" s="49">
        <f t="shared" si="19"/>
        <v>0</v>
      </c>
      <c r="AB439" s="49">
        <f t="shared" si="20"/>
        <v>0</v>
      </c>
      <c r="AC439" s="131" t="e">
        <f t="shared" si="18"/>
        <v>#N/A</v>
      </c>
    </row>
    <row r="440" spans="2:29" x14ac:dyDescent="0.25">
      <c r="B440" s="127"/>
      <c r="C440" s="183"/>
      <c r="D440" s="128"/>
      <c r="E440" s="128"/>
      <c r="F440" s="128"/>
      <c r="G440" s="175"/>
      <c r="H440" s="175"/>
      <c r="I440" s="140"/>
      <c r="J440" s="175"/>
      <c r="K440" s="140"/>
      <c r="L440" s="175"/>
      <c r="M440" s="140"/>
      <c r="N440" s="175"/>
      <c r="O440" s="140"/>
      <c r="P440" s="128"/>
      <c r="Q440" s="130"/>
      <c r="R440" s="130"/>
      <c r="S440" s="173"/>
      <c r="T440" s="173"/>
      <c r="U440" s="184"/>
      <c r="AA440" s="49">
        <f t="shared" si="19"/>
        <v>0</v>
      </c>
      <c r="AB440" s="49">
        <f t="shared" si="20"/>
        <v>0</v>
      </c>
      <c r="AC440" s="131" t="e">
        <f t="shared" si="18"/>
        <v>#N/A</v>
      </c>
    </row>
    <row r="441" spans="2:29" x14ac:dyDescent="0.25">
      <c r="B441" s="127"/>
      <c r="C441" s="183"/>
      <c r="D441" s="128"/>
      <c r="E441" s="128"/>
      <c r="F441" s="128"/>
      <c r="G441" s="175"/>
      <c r="H441" s="175"/>
      <c r="I441" s="140"/>
      <c r="J441" s="175"/>
      <c r="K441" s="140"/>
      <c r="L441" s="175"/>
      <c r="M441" s="140"/>
      <c r="N441" s="175"/>
      <c r="O441" s="140"/>
      <c r="P441" s="128"/>
      <c r="Q441" s="130"/>
      <c r="R441" s="130"/>
      <c r="S441" s="173"/>
      <c r="T441" s="173"/>
      <c r="U441" s="184"/>
      <c r="AA441" s="49">
        <f t="shared" si="19"/>
        <v>0</v>
      </c>
      <c r="AB441" s="49">
        <f t="shared" si="20"/>
        <v>0</v>
      </c>
      <c r="AC441" s="131" t="e">
        <f t="shared" si="18"/>
        <v>#N/A</v>
      </c>
    </row>
    <row r="442" spans="2:29" x14ac:dyDescent="0.25">
      <c r="B442" s="127"/>
      <c r="C442" s="183"/>
      <c r="D442" s="128"/>
      <c r="E442" s="128"/>
      <c r="F442" s="128"/>
      <c r="G442" s="175"/>
      <c r="H442" s="175"/>
      <c r="I442" s="140"/>
      <c r="J442" s="175"/>
      <c r="K442" s="140"/>
      <c r="L442" s="175"/>
      <c r="M442" s="140"/>
      <c r="N442" s="175"/>
      <c r="O442" s="140"/>
      <c r="P442" s="128"/>
      <c r="Q442" s="130"/>
      <c r="R442" s="130"/>
      <c r="S442" s="173"/>
      <c r="T442" s="173"/>
      <c r="U442" s="184"/>
      <c r="AA442" s="49">
        <f t="shared" si="19"/>
        <v>0</v>
      </c>
      <c r="AB442" s="49">
        <f t="shared" si="20"/>
        <v>0</v>
      </c>
      <c r="AC442" s="131" t="e">
        <f t="shared" si="18"/>
        <v>#N/A</v>
      </c>
    </row>
    <row r="443" spans="2:29" x14ac:dyDescent="0.25">
      <c r="B443" s="127"/>
      <c r="C443" s="183"/>
      <c r="D443" s="128"/>
      <c r="E443" s="128"/>
      <c r="F443" s="128"/>
      <c r="G443" s="175"/>
      <c r="H443" s="175"/>
      <c r="I443" s="140"/>
      <c r="J443" s="175"/>
      <c r="K443" s="140"/>
      <c r="L443" s="175"/>
      <c r="M443" s="140"/>
      <c r="N443" s="175"/>
      <c r="O443" s="140"/>
      <c r="P443" s="128"/>
      <c r="Q443" s="130"/>
      <c r="R443" s="130"/>
      <c r="S443" s="173"/>
      <c r="T443" s="173"/>
      <c r="U443" s="184"/>
      <c r="AA443" s="49">
        <f t="shared" si="19"/>
        <v>0</v>
      </c>
      <c r="AB443" s="49">
        <f t="shared" si="20"/>
        <v>0</v>
      </c>
      <c r="AC443" s="131" t="e">
        <f t="shared" si="18"/>
        <v>#N/A</v>
      </c>
    </row>
    <row r="444" spans="2:29" x14ac:dyDescent="0.25">
      <c r="B444" s="127"/>
      <c r="C444" s="183"/>
      <c r="D444" s="128"/>
      <c r="E444" s="128"/>
      <c r="F444" s="128"/>
      <c r="G444" s="175"/>
      <c r="H444" s="175"/>
      <c r="I444" s="140"/>
      <c r="J444" s="175"/>
      <c r="K444" s="140"/>
      <c r="L444" s="175"/>
      <c r="M444" s="140"/>
      <c r="N444" s="175"/>
      <c r="O444" s="140"/>
      <c r="P444" s="128"/>
      <c r="Q444" s="130"/>
      <c r="R444" s="130"/>
      <c r="S444" s="173"/>
      <c r="T444" s="173"/>
      <c r="U444" s="184"/>
      <c r="AA444" s="49">
        <f t="shared" si="19"/>
        <v>0</v>
      </c>
      <c r="AB444" s="49">
        <f t="shared" si="20"/>
        <v>0</v>
      </c>
      <c r="AC444" s="131" t="e">
        <f t="shared" si="18"/>
        <v>#N/A</v>
      </c>
    </row>
    <row r="445" spans="2:29" x14ac:dyDescent="0.25">
      <c r="B445" s="127"/>
      <c r="C445" s="183"/>
      <c r="D445" s="128"/>
      <c r="E445" s="128"/>
      <c r="F445" s="128"/>
      <c r="G445" s="175"/>
      <c r="H445" s="175"/>
      <c r="I445" s="140"/>
      <c r="J445" s="175"/>
      <c r="K445" s="140"/>
      <c r="L445" s="175"/>
      <c r="M445" s="140"/>
      <c r="N445" s="175"/>
      <c r="O445" s="140"/>
      <c r="P445" s="128"/>
      <c r="Q445" s="130"/>
      <c r="R445" s="130"/>
      <c r="S445" s="173"/>
      <c r="T445" s="173"/>
      <c r="U445" s="184"/>
      <c r="AA445" s="49">
        <f t="shared" si="19"/>
        <v>0</v>
      </c>
      <c r="AB445" s="49">
        <f t="shared" si="20"/>
        <v>0</v>
      </c>
      <c r="AC445" s="131" t="e">
        <f t="shared" si="18"/>
        <v>#N/A</v>
      </c>
    </row>
    <row r="446" spans="2:29" x14ac:dyDescent="0.25">
      <c r="B446" s="127"/>
      <c r="C446" s="183"/>
      <c r="D446" s="128"/>
      <c r="E446" s="128"/>
      <c r="F446" s="128"/>
      <c r="G446" s="175"/>
      <c r="H446" s="175"/>
      <c r="I446" s="140"/>
      <c r="J446" s="175"/>
      <c r="K446" s="140"/>
      <c r="L446" s="175"/>
      <c r="M446" s="140"/>
      <c r="N446" s="175"/>
      <c r="O446" s="140"/>
      <c r="P446" s="128"/>
      <c r="Q446" s="130"/>
      <c r="R446" s="130"/>
      <c r="S446" s="173"/>
      <c r="T446" s="173"/>
      <c r="U446" s="184"/>
      <c r="AA446" s="49">
        <f t="shared" si="19"/>
        <v>0</v>
      </c>
      <c r="AB446" s="49">
        <f t="shared" si="20"/>
        <v>0</v>
      </c>
      <c r="AC446" s="131" t="e">
        <f t="shared" si="18"/>
        <v>#N/A</v>
      </c>
    </row>
    <row r="447" spans="2:29" x14ac:dyDescent="0.25">
      <c r="B447" s="127"/>
      <c r="C447" s="183"/>
      <c r="D447" s="128"/>
      <c r="E447" s="128"/>
      <c r="F447" s="128"/>
      <c r="G447" s="175"/>
      <c r="H447" s="175"/>
      <c r="I447" s="140"/>
      <c r="J447" s="175"/>
      <c r="K447" s="140"/>
      <c r="L447" s="175"/>
      <c r="M447" s="140"/>
      <c r="N447" s="175"/>
      <c r="O447" s="140"/>
      <c r="P447" s="128"/>
      <c r="Q447" s="130"/>
      <c r="R447" s="130"/>
      <c r="S447" s="173"/>
      <c r="T447" s="173"/>
      <c r="U447" s="184"/>
      <c r="AA447" s="49">
        <f t="shared" si="19"/>
        <v>0</v>
      </c>
      <c r="AB447" s="49">
        <f t="shared" si="20"/>
        <v>0</v>
      </c>
      <c r="AC447" s="131" t="e">
        <f t="shared" si="18"/>
        <v>#N/A</v>
      </c>
    </row>
    <row r="448" spans="2:29" x14ac:dyDescent="0.25">
      <c r="B448" s="127"/>
      <c r="C448" s="183"/>
      <c r="D448" s="128"/>
      <c r="E448" s="128"/>
      <c r="F448" s="128"/>
      <c r="G448" s="175"/>
      <c r="H448" s="175"/>
      <c r="I448" s="140"/>
      <c r="J448" s="175"/>
      <c r="K448" s="140"/>
      <c r="L448" s="175"/>
      <c r="M448" s="140"/>
      <c r="N448" s="175"/>
      <c r="O448" s="140"/>
      <c r="P448" s="128"/>
      <c r="Q448" s="130"/>
      <c r="R448" s="130"/>
      <c r="S448" s="173"/>
      <c r="T448" s="173"/>
      <c r="U448" s="184"/>
      <c r="AA448" s="49">
        <f t="shared" si="19"/>
        <v>0</v>
      </c>
      <c r="AB448" s="49">
        <f t="shared" si="20"/>
        <v>0</v>
      </c>
      <c r="AC448" s="131" t="e">
        <f t="shared" si="18"/>
        <v>#N/A</v>
      </c>
    </row>
  </sheetData>
  <mergeCells count="1">
    <mergeCell ref="D13:E13"/>
  </mergeCells>
  <dataValidations count="2">
    <dataValidation type="list" allowBlank="1" showInputMessage="1" showErrorMessage="1" sqref="D13" xr:uid="{00000000-0002-0000-0400-000000000000}">
      <formula1>$B$16:$B$448</formula1>
    </dataValidation>
    <dataValidation type="list" showInputMessage="1" showErrorMessage="1" sqref="C16:C448" xr:uid="{00000000-0002-0000-0400-000001000000}">
      <formula1>$AE$17:$AE$20</formula1>
    </dataValidation>
  </dataValidations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Design Data</vt:lpstr>
      <vt:lpstr>Summary-Square Chamber</vt:lpstr>
      <vt:lpstr>Summary-Round Chamber</vt:lpstr>
      <vt:lpstr>Incremental Volume</vt:lpstr>
      <vt:lpstr>Standard Product</vt:lpstr>
      <vt:lpstr>ChamberType</vt:lpstr>
      <vt:lpstr>Model</vt:lpstr>
      <vt:lpstr>'Summary-Square Chamber'!Print_Area</vt:lpstr>
      <vt:lpstr>STDProdRange</vt:lpstr>
      <vt:lpstr>TotalRows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NPCA</dc:creator>
  <cp:lastModifiedBy>Alex</cp:lastModifiedBy>
  <cp:lastPrinted>2011-10-02T19:08:15Z</cp:lastPrinted>
  <dcterms:created xsi:type="dcterms:W3CDTF">2009-03-30T16:40:00Z</dcterms:created>
  <dcterms:modified xsi:type="dcterms:W3CDTF">2019-05-23T16:06:21Z</dcterms:modified>
</cp:coreProperties>
</file>